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sições" sheetId="1" state="visible" r:id="rId1"/>
    <sheet xmlns:r="http://schemas.openxmlformats.org/officeDocument/2006/relationships" name="Objetivos" sheetId="2" state="visible" r:id="rId2"/>
    <sheet xmlns:r="http://schemas.openxmlformats.org/officeDocument/2006/relationships" name="Comparador líquido" sheetId="3" state="visible" r:id="rId3"/>
    <sheet xmlns:r="http://schemas.openxmlformats.org/officeDocument/2006/relationships" name="Instruçõ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R$&quot; #,##0.00"/>
    <numFmt numFmtId="165" formatCode="dd/mm/yyyy"/>
    <numFmt numFmtId="166" formatCode="yyyy-mm-dd"/>
    <numFmt numFmtId="167" formatCode="0.000"/>
  </numFmts>
  <fonts count="6">
    <font>
      <name val="Calibri"/>
      <family val="2"/>
      <color theme="1"/>
      <sz val="11"/>
      <scheme val="minor"/>
    </font>
    <font>
      <name val="Arial"/>
      <b val="1"/>
      <color rgb="000B0E15"/>
      <sz val="14"/>
    </font>
    <font>
      <name val="Arial"/>
      <i val="1"/>
      <color rgb="00555555"/>
      <sz val="9"/>
    </font>
    <font>
      <name val="Arial"/>
      <b val="1"/>
      <sz val="10"/>
    </font>
    <font>
      <name val="Arial"/>
      <b val="1"/>
      <color rgb="00FFFFFF"/>
      <sz val="10"/>
    </font>
    <font>
      <name val="Arial"/>
      <sz val="10"/>
    </font>
  </fonts>
  <fills count="5">
    <fill>
      <patternFill/>
    </fill>
    <fill>
      <patternFill patternType="gray125"/>
    </fill>
    <fill>
      <patternFill patternType="solid">
        <fgColor rgb="00FFF7E0"/>
      </patternFill>
    </fill>
    <fill>
      <patternFill patternType="solid">
        <fgColor rgb="00EEF7F2"/>
      </patternFill>
    </fill>
    <fill>
      <patternFill patternType="solid">
        <fgColor rgb="001F2937"/>
      </patternFill>
    </fill>
  </fills>
  <borders count="2">
    <border>
      <left/>
      <right/>
      <top/>
      <bottom/>
      <diagonal/>
    </border>
    <border>
      <left style="thin">
        <color rgb="00D0D4DA"/>
      </left>
      <right style="thin">
        <color rgb="00D0D4DA"/>
      </right>
      <top style="thin">
        <color rgb="00D0D4DA"/>
      </top>
      <bottom style="thin">
        <color rgb="00D0D4DA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2" fontId="0" fillId="2" borderId="1" pivotButton="0" quotePrefix="0" xfId="0"/>
    <xf numFmtId="164" fontId="0" fillId="3" borderId="1" pivotButton="0" quotePrefix="0" xfId="0"/>
    <xf numFmtId="164" fontId="0" fillId="2" borderId="1" pivotButton="0" quotePrefix="0" xfId="0"/>
    <xf numFmtId="0" fontId="0" fillId="3" borderId="1" pivotButton="0" quotePrefix="0" xfId="0"/>
    <xf numFmtId="165" fontId="0" fillId="3" borderId="1" pivotButton="0" quotePrefix="0" xfId="0"/>
    <xf numFmtId="0" fontId="4" fillId="4" borderId="1" applyAlignment="1" pivotButton="0" quotePrefix="0" xfId="0">
      <alignment horizontal="center" vertical="center" wrapText="1"/>
    </xf>
    <xf numFmtId="0" fontId="5" fillId="2" borderId="1" pivotButton="0" quotePrefix="0" xfId="0"/>
    <xf numFmtId="165" fontId="5" fillId="2" borderId="1" pivotButton="0" quotePrefix="0" xfId="0"/>
    <xf numFmtId="164" fontId="5" fillId="2" borderId="1" pivotButton="0" quotePrefix="0" xfId="0"/>
    <xf numFmtId="2" fontId="5" fillId="2" borderId="1" pivotButton="0" quotePrefix="0" xfId="0"/>
    <xf numFmtId="1" fontId="5" fillId="3" borderId="1" pivotButton="0" quotePrefix="0" xfId="0"/>
    <xf numFmtId="2" fontId="5" fillId="3" borderId="1" pivotButton="0" quotePrefix="0" xfId="0"/>
    <xf numFmtId="164" fontId="5" fillId="3" borderId="1" pivotButton="0" quotePrefix="0" xfId="0"/>
    <xf numFmtId="10" fontId="5" fillId="3" borderId="1" pivotButton="0" quotePrefix="0" xfId="0"/>
    <xf numFmtId="165" fontId="5" fillId="3" borderId="1" pivotButton="0" quotePrefix="0" xfId="0"/>
    <xf numFmtId="0" fontId="5" fillId="3" borderId="1" pivotButton="0" quotePrefix="0" xfId="0"/>
    <xf numFmtId="1" fontId="0" fillId="2" borderId="1" pivotButton="0" quotePrefix="0" xfId="0"/>
    <xf numFmtId="167" fontId="0" fillId="3" borderId="1" pivotButton="0" quotePrefix="0" xfId="0"/>
    <xf numFmtId="10" fontId="0" fillId="3" borderId="1" pivotButton="0" quotePrefix="0" xfId="0"/>
    <xf numFmtId="2" fontId="0" fillId="3" borderId="1" pivotButton="0" quotePrefix="0" xfId="0"/>
    <xf numFmtId="10" fontId="0" fillId="0" borderId="0" pivotButton="0" quotePrefix="0" xfId="0"/>
    <xf numFmtId="9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ont>
        <b val="1"/>
        <color rgb="009B1C1C"/>
      </font>
      <fill>
        <patternFill patternType="solid">
          <fgColor rgb="00FBD5D5"/>
        </patternFill>
      </fill>
    </dxf>
    <dxf>
      <fill>
        <patternFill patternType="solid">
          <fgColor rgb="00FDEBC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Z58"/>
  <sheetViews>
    <sheetView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2" customWidth="1" min="2" max="2"/>
    <col width="10" customWidth="1" min="3" max="3"/>
    <col width="9" customWidth="1" min="4" max="4"/>
    <col width="9" customWidth="1" min="5" max="5"/>
    <col width="22" customWidth="1" min="6" max="6"/>
    <col width="12" customWidth="1" min="7" max="7"/>
    <col width="14" customWidth="1" min="8" max="8"/>
    <col width="12" customWidth="1" min="9" max="9"/>
    <col width="11" customWidth="1" min="10" max="10"/>
    <col width="11" customWidth="1" min="11" max="11"/>
    <col width="10" customWidth="1" min="12" max="12"/>
    <col width="10" customWidth="1" min="13" max="13"/>
    <col width="11" customWidth="1" min="14" max="14"/>
    <col width="15" customWidth="1" min="15" max="15"/>
    <col width="9" customWidth="1" min="16" max="16"/>
    <col width="15" customWidth="1" min="17" max="17"/>
    <col width="15" customWidth="1" min="18" max="18"/>
    <col width="12" customWidth="1" min="19" max="19"/>
    <col width="34" customWidth="1" min="20" max="20"/>
    <col width="15" customWidth="1" min="21" max="21"/>
    <col width="26" customWidth="1" min="22" max="22"/>
    <col width="14" customWidth="1" min="23" max="23"/>
    <col width="18" customWidth="1" min="24" max="24"/>
    <col width="9" customWidth="1" min="25" max="25"/>
    <col width="14" customWidth="1" min="26" max="26"/>
  </cols>
  <sheetData>
    <row r="1">
      <c r="A1" s="1" t="inlineStr">
        <is>
          <t>Minhas posições de renda fixa</t>
        </is>
      </c>
    </row>
    <row r="2">
      <c r="A2" s="2" t="inlineStr">
        <is>
          <t>Células amarelas: você preenche. Células verdes: a planilha calcula. Os valores são ESTIMATIVAS pela taxa contratada e pelas premissas abaixo, levando o título até o vencimento (não é o preço de mercado).</t>
        </is>
      </c>
    </row>
    <row r="3">
      <c r="A3" s="3" t="inlineStr">
        <is>
          <t>CDI médio esperado até os vencimentos (% a.a.)</t>
        </is>
      </c>
      <c r="C3" s="4" t="n">
        <v>13.65</v>
      </c>
      <c r="D3" s="2" t="inlineStr">
        <is>
          <t>Exemplo: CDI de set/2026. Troque pela sua premissa (veja a curva DI na aba Juros).</t>
        </is>
      </c>
      <c r="H3" s="3" t="inlineStr">
        <is>
          <t>Total aplicado</t>
        </is>
      </c>
      <c r="K3" s="5">
        <f>SUM(H9:H58)</f>
        <v/>
      </c>
    </row>
    <row r="4">
      <c r="A4" s="3" t="inlineStr">
        <is>
          <t>IPCA médio esperado até os vencimentos (% a.a.)</t>
        </is>
      </c>
      <c r="C4" s="4" t="n">
        <v>4.53</v>
      </c>
      <c r="D4" s="2" t="inlineStr">
        <is>
          <t>Exemplo: Focus para 12 meses em 26/10/2026.</t>
        </is>
      </c>
      <c r="H4" s="3" t="inlineStr">
        <is>
          <t>Líquido estimado nos vencimentos</t>
        </is>
      </c>
      <c r="K4" s="5">
        <f>SUM(Q9:Q58)</f>
        <v/>
      </c>
    </row>
    <row r="5">
      <c r="A5" s="3" t="inlineStr">
        <is>
          <t>Limite do FGC por CPF e por conglomerado (R$)</t>
        </is>
      </c>
      <c r="C5" s="6" t="n">
        <v>250000</v>
      </c>
      <c r="H5" s="3" t="inlineStr">
        <is>
          <t>Emissores acima do FGC (linhas)</t>
        </is>
      </c>
      <c r="K5" s="7">
        <f>COUNTIF(V9:V58,"ACIMA DO FGC")</f>
        <v/>
      </c>
    </row>
    <row r="6">
      <c r="A6" s="3" t="inlineStr">
        <is>
          <t>Data de hoje</t>
        </is>
      </c>
      <c r="C6" s="8">
        <f>TODAY()</f>
        <v/>
      </c>
      <c r="H6" s="3" t="inlineStr">
        <is>
          <t>Vencem em até 90 dias (linhas)</t>
        </is>
      </c>
      <c r="K6" s="7">
        <f>COUNTIF(X9:X58,"vence em até 90 dias")</f>
        <v/>
      </c>
    </row>
    <row r="7">
      <c r="A7" s="2" t="inlineStr">
        <is>
          <t>Taxa contratada: Pós CDI = % do CDI (ex.: 110; o percentual incide sobre o CDI de cada dia) · Selic = ágio sobre a Selic (ex.: 0,05) · Pré = % ao ano (ex.: 15,78) · IPCA+ = taxa real ao ano (ex.: 7,66).</t>
        </is>
      </c>
    </row>
    <row r="8" ht="42" customHeight="1">
      <c r="A8" s="9" t="inlineStr">
        <is>
          <t>Produto / título</t>
        </is>
      </c>
      <c r="B8" s="9" t="inlineStr">
        <is>
          <t>Emissor (conglomerado)</t>
        </is>
      </c>
      <c r="C8" s="9" t="inlineStr">
        <is>
          <t>Tipo</t>
        </is>
      </c>
      <c r="D8" s="9" t="inlineStr">
        <is>
          <t>Isento de IR?</t>
        </is>
      </c>
      <c r="E8" s="9" t="inlineStr">
        <is>
          <t>Tem FGC?</t>
        </is>
      </c>
      <c r="F8" s="9" t="inlineStr">
        <is>
          <t>Objetivo</t>
        </is>
      </c>
      <c r="G8" s="9" t="inlineStr">
        <is>
          <t>Data da aplicação</t>
        </is>
      </c>
      <c r="H8" s="9" t="inlineStr">
        <is>
          <t>Valor aplicado (R$)</t>
        </is>
      </c>
      <c r="I8" s="9" t="inlineStr">
        <is>
          <t>Vencimento</t>
        </is>
      </c>
      <c r="J8" s="9" t="inlineStr">
        <is>
          <t>Taxa contratada</t>
        </is>
      </c>
      <c r="K8" s="9" t="inlineStr">
        <is>
          <t>Custódia/taxa (% a.a.)</t>
        </is>
      </c>
      <c r="L8" s="9" t="inlineStr">
        <is>
          <t>Prazo total (dias)</t>
        </is>
      </c>
      <c r="M8" s="9" t="inlineStr">
        <is>
          <t>Dias até vencer</t>
        </is>
      </c>
      <c r="N8" s="9" t="inlineStr">
        <is>
          <t>Taxa anual estimada (%)</t>
        </is>
      </c>
      <c r="O8" s="9" t="inlineStr">
        <is>
          <t>Bruto estimado no vencimento (sem a custódia)</t>
        </is>
      </c>
      <c r="P8" s="9" t="inlineStr">
        <is>
          <t>Alíquota de IR</t>
        </is>
      </c>
      <c r="Q8" s="9" t="inlineStr">
        <is>
          <t>Líquido estimado no vencimento</t>
        </is>
      </c>
      <c r="R8" s="9" t="inlineStr">
        <is>
          <t>Saldo estimado hoje (pela curva)</t>
        </is>
      </c>
      <c r="S8" s="9" t="inlineStr">
        <is>
          <t>Data do objetivo</t>
        </is>
      </c>
      <c r="T8" s="9" t="inlineStr">
        <is>
          <t>Casamento de prazo</t>
        </is>
      </c>
      <c r="U8" s="9" t="inlineStr">
        <is>
          <t>Soma no emissor (bruto no venc.)</t>
        </is>
      </c>
      <c r="V8" s="9" t="inlineStr">
        <is>
          <t>Alerta FGC</t>
        </is>
      </c>
      <c r="W8" s="9" t="inlineStr">
        <is>
          <t>Excesso sobre o FGC (R$)</t>
        </is>
      </c>
      <c r="X8" s="9" t="inlineStr">
        <is>
          <t>Vencimento próximo</t>
        </is>
      </c>
      <c r="Y8" s="9" t="inlineStr">
        <is>
          <t>% da carteira</t>
        </is>
      </c>
      <c r="Z8" s="9" t="inlineStr">
        <is>
          <t>Custódia estimada até o vencimento (R$)</t>
        </is>
      </c>
    </row>
    <row r="9">
      <c r="A9" s="10" t="inlineStr">
        <is>
          <t>EXEMPLO · CDB liquidez diária</t>
        </is>
      </c>
      <c r="B9" s="10" t="inlineStr">
        <is>
          <t>Banco Grande X</t>
        </is>
      </c>
      <c r="C9" s="10" t="inlineStr">
        <is>
          <t>Pós CDI</t>
        </is>
      </c>
      <c r="D9" s="10" t="inlineStr">
        <is>
          <t>Não</t>
        </is>
      </c>
      <c r="E9" s="10" t="inlineStr">
        <is>
          <t>Sim</t>
        </is>
      </c>
      <c r="F9" s="10" t="inlineStr">
        <is>
          <t>Reserva</t>
        </is>
      </c>
      <c r="G9" s="11" t="n">
        <v>46321</v>
      </c>
      <c r="H9" s="12" t="n">
        <v>30000</v>
      </c>
      <c r="I9" s="11" t="n">
        <v>47416</v>
      </c>
      <c r="J9" s="13" t="n">
        <v>100</v>
      </c>
      <c r="K9" s="13" t="n">
        <v>0</v>
      </c>
      <c r="L9" s="14">
        <f>IF($A9="","",I9-G9)</f>
        <v/>
      </c>
      <c r="M9" s="14">
        <f>IF($A9="","",I9-$C$6)</f>
        <v/>
      </c>
      <c r="N9" s="15">
        <f>IF($A9="","",IF(C9="Pós CDI",((1+((1+$C$3/100)^(1/252)-1)*J9/100)^252-1)*100,IF(C9="Selic",$C$3+J9,IF(C9="Pré",J9,IF(C9="IPCA+",((1+$C$4/100)*(1+J9/100)-1)*100,"")))))</f>
        <v/>
      </c>
      <c r="O9" s="16">
        <f>IF($A9="","",H9*(1+N9/100)^(L9/365)-Z9)</f>
        <v/>
      </c>
      <c r="P9" s="17">
        <f>IF($A9="","",IF(D9="Sim",0,IF(L9&lt;=180,0.225,IF(L9&lt;=360,0.2,IF(L9&lt;=720,0.175,0.15)))))</f>
        <v/>
      </c>
      <c r="Q9" s="16">
        <f>IF($A9="","",O9-IF(AND(D9&lt;&gt;"Sim",L9&lt;30),MAX(0,O9-H9)*INDEX('Comparador líquido'!$B$41:$B$70,MAX(1,L9)),0)-MAX(0,O9-H9-IF(AND(D9&lt;&gt;"Sim",L9&lt;30),MAX(0,O9-H9)*INDEX('Comparador líquido'!$B$41:$B$70,MAX(1,L9)),0))*P9)</f>
        <v/>
      </c>
      <c r="R9" s="16">
        <f>IF($A9="","",H9*(1+N9/100)^(MAX(0,MIN(L9,$C$6-G9))/365)-IF(K9=0,0,K9/100*IF(C9="Selic",MAX(0,1-10000/SUMIFS($H$9:$H$58,$C$9:$C$58,"Selic")),1)*IFERROR(H9*((1+N9/100)^(MAX(0,MIN(L9,$C$6-G9))/365)-1)/LN(1+N9/100),H9*MAX(0,MIN(L9,$C$6-G9))/365)))</f>
        <v/>
      </c>
      <c r="S9" s="18">
        <f>IF($A9="","",IFERROR(IF(INDEX(Objetivos!$C$5:$C$14,MATCH(F9,Objetivos!$A$5:$A$14,0))="","",INDEX(Objetivos!$C$5:$C$14,MATCH(F9,Objetivos!$A$5:$A$14,0))),""))</f>
        <v/>
      </c>
      <c r="T9" s="19">
        <f>IF($A9="","",IF(F9="","sem objetivo: preencha",IF(S9="","sem data: se for reserva, precisa de liquidez diária",IF(I9&gt;S9+31,"vence DEPOIS do objetivo: risco de vender antes",IF(I9&lt;S9-365,"vence mais de 1 ano antes: risco de reinvestir","casado com o objetivo")))))</f>
        <v/>
      </c>
      <c r="U9" s="16">
        <f>IF($A9="","",IF(E9="Sim",SUMIFS($O$9:$O$58,$B$9:$B$58,B9,$E$9:$E$58,"Sim"),""))</f>
        <v/>
      </c>
      <c r="V9" s="19">
        <f>IF($A9="","",IF(E9&lt;&gt;"Sim",IF(B9="Tesouro Nacional","Tesouro: sem FGC (risco do governo)","SEM FGC: risco do emissor"),IF(U9&gt;$C$5,"ACIMA DO FGC","dentro do limite")))</f>
        <v/>
      </c>
      <c r="W9" s="16">
        <f>IF($A9="","",IF(E9="Sim",MAX(0,U9-$C$5),""))</f>
        <v/>
      </c>
      <c r="X9" s="19">
        <f>IF($A9="","",IF(M9&lt;0,"vencido",IF(M9&lt;=90,"vence em até 90 dias","")))</f>
        <v/>
      </c>
      <c r="Y9" s="17">
        <f>IF($A9="","",H9/SUM($H$9:$H$58))</f>
        <v/>
      </c>
      <c r="Z9" s="16">
        <f>IF($A9="","",IF(K9=0,0,K9/100*IF(C9="Selic",MAX(0,1-10000/SUMIFS($H$9:$H$58,$C$9:$C$58,"Selic")),1)*IFERROR(H9*((1+N9/100)^(L9/365)-1)/LN(1+N9/100),H9*L9/365)))</f>
        <v/>
      </c>
    </row>
    <row r="10">
      <c r="A10" s="10" t="inlineStr">
        <is>
          <t>EXEMPLO · CDB 3 anos</t>
        </is>
      </c>
      <c r="B10" s="10" t="inlineStr">
        <is>
          <t>Banco Médio Y</t>
        </is>
      </c>
      <c r="C10" s="10" t="inlineStr">
        <is>
          <t>Pós CDI</t>
        </is>
      </c>
      <c r="D10" s="10" t="inlineStr">
        <is>
          <t>Não</t>
        </is>
      </c>
      <c r="E10" s="10" t="inlineStr">
        <is>
          <t>Sim</t>
        </is>
      </c>
      <c r="F10" s="10" t="inlineStr">
        <is>
          <t>Reforma e mudança</t>
        </is>
      </c>
      <c r="G10" s="11" t="n">
        <v>46321</v>
      </c>
      <c r="H10" s="12" t="n">
        <v>120000</v>
      </c>
      <c r="I10" s="11" t="n">
        <v>47416</v>
      </c>
      <c r="J10" s="13" t="n">
        <v>110</v>
      </c>
      <c r="K10" s="13" t="n">
        <v>0</v>
      </c>
      <c r="L10" s="14">
        <f>IF($A10="","",I10-G10)</f>
        <v/>
      </c>
      <c r="M10" s="14">
        <f>IF($A10="","",I10-$C$6)</f>
        <v/>
      </c>
      <c r="N10" s="15">
        <f>IF($A10="","",IF(C10="Pós CDI",((1+((1+$C$3/100)^(1/252)-1)*J10/100)^252-1)*100,IF(C10="Selic",$C$3+J10,IF(C10="Pré",J10,IF(C10="IPCA+",((1+$C$4/100)*(1+J10/100)-1)*100,"")))))</f>
        <v/>
      </c>
      <c r="O10" s="16">
        <f>IF($A10="","",H10*(1+N10/100)^(L10/365)-Z10)</f>
        <v/>
      </c>
      <c r="P10" s="17">
        <f>IF($A10="","",IF(D10="Sim",0,IF(L10&lt;=180,0.225,IF(L10&lt;=360,0.2,IF(L10&lt;=720,0.175,0.15)))))</f>
        <v/>
      </c>
      <c r="Q10" s="16">
        <f>IF($A10="","",O10-IF(AND(D10&lt;&gt;"Sim",L10&lt;30),MAX(0,O10-H10)*INDEX('Comparador líquido'!$B$41:$B$70,MAX(1,L10)),0)-MAX(0,O10-H10-IF(AND(D10&lt;&gt;"Sim",L10&lt;30),MAX(0,O10-H10)*INDEX('Comparador líquido'!$B$41:$B$70,MAX(1,L10)),0))*P10)</f>
        <v/>
      </c>
      <c r="R10" s="16">
        <f>IF($A10="","",H10*(1+N10/100)^(MAX(0,MIN(L10,$C$6-G10))/365)-IF(K10=0,0,K10/100*IF(C10="Selic",MAX(0,1-10000/SUMIFS($H$9:$H$58,$C$9:$C$58,"Selic")),1)*IFERROR(H10*((1+N10/100)^(MAX(0,MIN(L10,$C$6-G10))/365)-1)/LN(1+N10/100),H10*MAX(0,MIN(L10,$C$6-G10))/365)))</f>
        <v/>
      </c>
      <c r="S10" s="18">
        <f>IF($A10="","",IFERROR(IF(INDEX(Objetivos!$C$5:$C$14,MATCH(F10,Objetivos!$A$5:$A$14,0))="","",INDEX(Objetivos!$C$5:$C$14,MATCH(F10,Objetivos!$A$5:$A$14,0))),""))</f>
        <v/>
      </c>
      <c r="T10" s="19">
        <f>IF($A10="","",IF(F10="","sem objetivo: preencha",IF(S10="","sem data: se for reserva, precisa de liquidez diária",IF(I10&gt;S10+31,"vence DEPOIS do objetivo: risco de vender antes",IF(I10&lt;S10-365,"vence mais de 1 ano antes: risco de reinvestir","casado com o objetivo")))))</f>
        <v/>
      </c>
      <c r="U10" s="16">
        <f>IF($A10="","",IF(E10="Sim",SUMIFS($O$9:$O$58,$B$9:$B$58,B10,$E$9:$E$58,"Sim"),""))</f>
        <v/>
      </c>
      <c r="V10" s="19">
        <f>IF($A10="","",IF(E10&lt;&gt;"Sim",IF(B10="Tesouro Nacional","Tesouro: sem FGC (risco do governo)","SEM FGC: risco do emissor"),IF(U10&gt;$C$5,"ACIMA DO FGC","dentro do limite")))</f>
        <v/>
      </c>
      <c r="W10" s="16">
        <f>IF($A10="","",IF(E10="Sim",MAX(0,U10-$C$5),""))</f>
        <v/>
      </c>
      <c r="X10" s="19">
        <f>IF($A10="","",IF(M10&lt;0,"vencido",IF(M10&lt;=90,"vence em até 90 dias","")))</f>
        <v/>
      </c>
      <c r="Y10" s="17">
        <f>IF($A10="","",H10/SUM($H$9:$H$58))</f>
        <v/>
      </c>
      <c r="Z10" s="16">
        <f>IF($A10="","",IF(K10=0,0,K10/100*IF(C10="Selic",MAX(0,1-10000/SUMIFS($H$9:$H$58,$C$9:$C$58,"Selic")),1)*IFERROR(H10*((1+N10/100)^(L10/365)-1)/LN(1+N10/100),H10*L10/365)))</f>
        <v/>
      </c>
    </row>
    <row r="11">
      <c r="A11" s="10" t="inlineStr">
        <is>
          <t>EXEMPLO · LCI 2 anos</t>
        </is>
      </c>
      <c r="B11" s="10" t="inlineStr">
        <is>
          <t>Banco Médio Y</t>
        </is>
      </c>
      <c r="C11" s="10" t="inlineStr">
        <is>
          <t>Pós CDI</t>
        </is>
      </c>
      <c r="D11" s="10" t="inlineStr">
        <is>
          <t>Sim</t>
        </is>
      </c>
      <c r="E11" s="10" t="inlineStr">
        <is>
          <t>Sim</t>
        </is>
      </c>
      <c r="F11" s="10" t="inlineStr">
        <is>
          <t>Reforma e mudança</t>
        </is>
      </c>
      <c r="G11" s="11" t="n">
        <v>46321</v>
      </c>
      <c r="H11" s="12" t="n">
        <v>80000</v>
      </c>
      <c r="I11" s="11" t="n">
        <v>47051</v>
      </c>
      <c r="J11" s="13" t="n">
        <v>92</v>
      </c>
      <c r="K11" s="13" t="n">
        <v>0</v>
      </c>
      <c r="L11" s="14">
        <f>IF($A11="","",I11-G11)</f>
        <v/>
      </c>
      <c r="M11" s="14">
        <f>IF($A11="","",I11-$C$6)</f>
        <v/>
      </c>
      <c r="N11" s="15">
        <f>IF($A11="","",IF(C11="Pós CDI",((1+((1+$C$3/100)^(1/252)-1)*J11/100)^252-1)*100,IF(C11="Selic",$C$3+J11,IF(C11="Pré",J11,IF(C11="IPCA+",((1+$C$4/100)*(1+J11/100)-1)*100,"")))))</f>
        <v/>
      </c>
      <c r="O11" s="16">
        <f>IF($A11="","",H11*(1+N11/100)^(L11/365)-Z11)</f>
        <v/>
      </c>
      <c r="P11" s="17">
        <f>IF($A11="","",IF(D11="Sim",0,IF(L11&lt;=180,0.225,IF(L11&lt;=360,0.2,IF(L11&lt;=720,0.175,0.15)))))</f>
        <v/>
      </c>
      <c r="Q11" s="16">
        <f>IF($A11="","",O11-IF(AND(D11&lt;&gt;"Sim",L11&lt;30),MAX(0,O11-H11)*INDEX('Comparador líquido'!$B$41:$B$70,MAX(1,L11)),0)-MAX(0,O11-H11-IF(AND(D11&lt;&gt;"Sim",L11&lt;30),MAX(0,O11-H11)*INDEX('Comparador líquido'!$B$41:$B$70,MAX(1,L11)),0))*P11)</f>
        <v/>
      </c>
      <c r="R11" s="16">
        <f>IF($A11="","",H11*(1+N11/100)^(MAX(0,MIN(L11,$C$6-G11))/365)-IF(K11=0,0,K11/100*IF(C11="Selic",MAX(0,1-10000/SUMIFS($H$9:$H$58,$C$9:$C$58,"Selic")),1)*IFERROR(H11*((1+N11/100)^(MAX(0,MIN(L11,$C$6-G11))/365)-1)/LN(1+N11/100),H11*MAX(0,MIN(L11,$C$6-G11))/365)))</f>
        <v/>
      </c>
      <c r="S11" s="18">
        <f>IF($A11="","",IFERROR(IF(INDEX(Objetivos!$C$5:$C$14,MATCH(F11,Objetivos!$A$5:$A$14,0))="","",INDEX(Objetivos!$C$5:$C$14,MATCH(F11,Objetivos!$A$5:$A$14,0))),""))</f>
        <v/>
      </c>
      <c r="T11" s="19">
        <f>IF($A11="","",IF(F11="","sem objetivo: preencha",IF(S11="","sem data: se for reserva, precisa de liquidez diária",IF(I11&gt;S11+31,"vence DEPOIS do objetivo: risco de vender antes",IF(I11&lt;S11-365,"vence mais de 1 ano antes: risco de reinvestir","casado com o objetivo")))))</f>
        <v/>
      </c>
      <c r="U11" s="16">
        <f>IF($A11="","",IF(E11="Sim",SUMIFS($O$9:$O$58,$B$9:$B$58,B11,$E$9:$E$58,"Sim"),""))</f>
        <v/>
      </c>
      <c r="V11" s="19">
        <f>IF($A11="","",IF(E11&lt;&gt;"Sim",IF(B11="Tesouro Nacional","Tesouro: sem FGC (risco do governo)","SEM FGC: risco do emissor"),IF(U11&gt;$C$5,"ACIMA DO FGC","dentro do limite")))</f>
        <v/>
      </c>
      <c r="W11" s="16">
        <f>IF($A11="","",IF(E11="Sim",MAX(0,U11-$C$5),""))</f>
        <v/>
      </c>
      <c r="X11" s="19">
        <f>IF($A11="","",IF(M11&lt;0,"vencido",IF(M11&lt;=90,"vence em até 90 dias","")))</f>
        <v/>
      </c>
      <c r="Y11" s="17">
        <f>IF($A11="","",H11/SUM($H$9:$H$58))</f>
        <v/>
      </c>
      <c r="Z11" s="16">
        <f>IF($A11="","",IF(K11=0,0,K11/100*IF(C11="Selic",MAX(0,1-10000/SUMIFS($H$9:$H$58,$C$9:$C$58,"Selic")),1)*IFERROR(H11*((1+N11/100)^(L11/365)-1)/LN(1+N11/100),H11*L11/365)))</f>
        <v/>
      </c>
    </row>
    <row r="12">
      <c r="A12" s="10" t="inlineStr">
        <is>
          <t>EXEMPLO · Tesouro Prefixado 2032</t>
        </is>
      </c>
      <c r="B12" s="10" t="inlineStr">
        <is>
          <t>Tesouro Nacional</t>
        </is>
      </c>
      <c r="C12" s="10" t="inlineStr">
        <is>
          <t>Pré</t>
        </is>
      </c>
      <c r="D12" s="10" t="inlineStr">
        <is>
          <t>Não</t>
        </is>
      </c>
      <c r="E12" s="10" t="inlineStr">
        <is>
          <t>Não</t>
        </is>
      </c>
      <c r="F12" s="10" t="inlineStr">
        <is>
          <t>Entrada do apartamento</t>
        </is>
      </c>
      <c r="G12" s="11" t="n">
        <v>46321</v>
      </c>
      <c r="H12" s="12" t="n">
        <v>40000</v>
      </c>
      <c r="I12" s="11" t="n">
        <v>48214</v>
      </c>
      <c r="J12" s="13" t="n">
        <v>15.78</v>
      </c>
      <c r="K12" s="13" t="n">
        <v>0.2</v>
      </c>
      <c r="L12" s="14">
        <f>IF($A12="","",I12-G12)</f>
        <v/>
      </c>
      <c r="M12" s="14">
        <f>IF($A12="","",I12-$C$6)</f>
        <v/>
      </c>
      <c r="N12" s="15">
        <f>IF($A12="","",IF(C12="Pós CDI",((1+((1+$C$3/100)^(1/252)-1)*J12/100)^252-1)*100,IF(C12="Selic",$C$3+J12,IF(C12="Pré",J12,IF(C12="IPCA+",((1+$C$4/100)*(1+J12/100)-1)*100,"")))))</f>
        <v/>
      </c>
      <c r="O12" s="16">
        <f>IF($A12="","",H12*(1+N12/100)^(L12/365)-Z12)</f>
        <v/>
      </c>
      <c r="P12" s="17">
        <f>IF($A12="","",IF(D12="Sim",0,IF(L12&lt;=180,0.225,IF(L12&lt;=360,0.2,IF(L12&lt;=720,0.175,0.15)))))</f>
        <v/>
      </c>
      <c r="Q12" s="16">
        <f>IF($A12="","",O12-IF(AND(D12&lt;&gt;"Sim",L12&lt;30),MAX(0,O12-H12)*INDEX('Comparador líquido'!$B$41:$B$70,MAX(1,L12)),0)-MAX(0,O12-H12-IF(AND(D12&lt;&gt;"Sim",L12&lt;30),MAX(0,O12-H12)*INDEX('Comparador líquido'!$B$41:$B$70,MAX(1,L12)),0))*P12)</f>
        <v/>
      </c>
      <c r="R12" s="16">
        <f>IF($A12="","",H12*(1+N12/100)^(MAX(0,MIN(L12,$C$6-G12))/365)-IF(K12=0,0,K12/100*IF(C12="Selic",MAX(0,1-10000/SUMIFS($H$9:$H$58,$C$9:$C$58,"Selic")),1)*IFERROR(H12*((1+N12/100)^(MAX(0,MIN(L12,$C$6-G12))/365)-1)/LN(1+N12/100),H12*MAX(0,MIN(L12,$C$6-G12))/365)))</f>
        <v/>
      </c>
      <c r="S12" s="18">
        <f>IF($A12="","",IFERROR(IF(INDEX(Objetivos!$C$5:$C$14,MATCH(F12,Objetivos!$A$5:$A$14,0))="","",INDEX(Objetivos!$C$5:$C$14,MATCH(F12,Objetivos!$A$5:$A$14,0))),""))</f>
        <v/>
      </c>
      <c r="T12" s="19">
        <f>IF($A12="","",IF(F12="","sem objetivo: preencha",IF(S12="","sem data: se for reserva, precisa de liquidez diária",IF(I12&gt;S12+31,"vence DEPOIS do objetivo: risco de vender antes",IF(I12&lt;S12-365,"vence mais de 1 ano antes: risco de reinvestir","casado com o objetivo")))))</f>
        <v/>
      </c>
      <c r="U12" s="16">
        <f>IF($A12="","",IF(E12="Sim",SUMIFS($O$9:$O$58,$B$9:$B$58,B12,$E$9:$E$58,"Sim"),""))</f>
        <v/>
      </c>
      <c r="V12" s="19">
        <f>IF($A12="","",IF(E12&lt;&gt;"Sim",IF(B12="Tesouro Nacional","Tesouro: sem FGC (risco do governo)","SEM FGC: risco do emissor"),IF(U12&gt;$C$5,"ACIMA DO FGC","dentro do limite")))</f>
        <v/>
      </c>
      <c r="W12" s="16">
        <f>IF($A12="","",IF(E12="Sim",MAX(0,U12-$C$5),""))</f>
        <v/>
      </c>
      <c r="X12" s="19">
        <f>IF($A12="","",IF(M12&lt;0,"vencido",IF(M12&lt;=90,"vence em até 90 dias","")))</f>
        <v/>
      </c>
      <c r="Y12" s="17">
        <f>IF($A12="","",H12/SUM($H$9:$H$58))</f>
        <v/>
      </c>
      <c r="Z12" s="16">
        <f>IF($A12="","",IF(K12=0,0,K12/100*IF(C12="Selic",MAX(0,1-10000/SUMIFS($H$9:$H$58,$C$9:$C$58,"Selic")),1)*IFERROR(H12*((1+N12/100)^(L12/365)-1)/LN(1+N12/100),H12*L12/365)))</f>
        <v/>
      </c>
    </row>
    <row r="13">
      <c r="A13" s="10" t="inlineStr">
        <is>
          <t>EXEMPLO · Tesouro IPCA+ 2045</t>
        </is>
      </c>
      <c r="B13" s="10" t="inlineStr">
        <is>
          <t>Tesouro Nacional</t>
        </is>
      </c>
      <c r="C13" s="10" t="inlineStr">
        <is>
          <t>IPCA+</t>
        </is>
      </c>
      <c r="D13" s="10" t="inlineStr">
        <is>
          <t>Não</t>
        </is>
      </c>
      <c r="E13" s="10" t="inlineStr">
        <is>
          <t>Não</t>
        </is>
      </c>
      <c r="F13" s="10" t="inlineStr">
        <is>
          <t>Aposentadoria</t>
        </is>
      </c>
      <c r="G13" s="11" t="n">
        <v>46321</v>
      </c>
      <c r="H13" s="12" t="n">
        <v>50000</v>
      </c>
      <c r="I13" s="11" t="n">
        <v>53097</v>
      </c>
      <c r="J13" s="13" t="n">
        <v>7.66</v>
      </c>
      <c r="K13" s="13" t="n">
        <v>0.2</v>
      </c>
      <c r="L13" s="14">
        <f>IF($A13="","",I13-G13)</f>
        <v/>
      </c>
      <c r="M13" s="14">
        <f>IF($A13="","",I13-$C$6)</f>
        <v/>
      </c>
      <c r="N13" s="15">
        <f>IF($A13="","",IF(C13="Pós CDI",((1+((1+$C$3/100)^(1/252)-1)*J13/100)^252-1)*100,IF(C13="Selic",$C$3+J13,IF(C13="Pré",J13,IF(C13="IPCA+",((1+$C$4/100)*(1+J13/100)-1)*100,"")))))</f>
        <v/>
      </c>
      <c r="O13" s="16">
        <f>IF($A13="","",H13*(1+N13/100)^(L13/365)-Z13)</f>
        <v/>
      </c>
      <c r="P13" s="17">
        <f>IF($A13="","",IF(D13="Sim",0,IF(L13&lt;=180,0.225,IF(L13&lt;=360,0.2,IF(L13&lt;=720,0.175,0.15)))))</f>
        <v/>
      </c>
      <c r="Q13" s="16">
        <f>IF($A13="","",O13-IF(AND(D13&lt;&gt;"Sim",L13&lt;30),MAX(0,O13-H13)*INDEX('Comparador líquido'!$B$41:$B$70,MAX(1,L13)),0)-MAX(0,O13-H13-IF(AND(D13&lt;&gt;"Sim",L13&lt;30),MAX(0,O13-H13)*INDEX('Comparador líquido'!$B$41:$B$70,MAX(1,L13)),0))*P13)</f>
        <v/>
      </c>
      <c r="R13" s="16">
        <f>IF($A13="","",H13*(1+N13/100)^(MAX(0,MIN(L13,$C$6-G13))/365)-IF(K13=0,0,K13/100*IF(C13="Selic",MAX(0,1-10000/SUMIFS($H$9:$H$58,$C$9:$C$58,"Selic")),1)*IFERROR(H13*((1+N13/100)^(MAX(0,MIN(L13,$C$6-G13))/365)-1)/LN(1+N13/100),H13*MAX(0,MIN(L13,$C$6-G13))/365)))</f>
        <v/>
      </c>
      <c r="S13" s="18">
        <f>IF($A13="","",IFERROR(IF(INDEX(Objetivos!$C$5:$C$14,MATCH(F13,Objetivos!$A$5:$A$14,0))="","",INDEX(Objetivos!$C$5:$C$14,MATCH(F13,Objetivos!$A$5:$A$14,0))),""))</f>
        <v/>
      </c>
      <c r="T13" s="19">
        <f>IF($A13="","",IF(F13="","sem objetivo: preencha",IF(S13="","sem data: se for reserva, precisa de liquidez diária",IF(I13&gt;S13+31,"vence DEPOIS do objetivo: risco de vender antes",IF(I13&lt;S13-365,"vence mais de 1 ano antes: risco de reinvestir","casado com o objetivo")))))</f>
        <v/>
      </c>
      <c r="U13" s="16">
        <f>IF($A13="","",IF(E13="Sim",SUMIFS($O$9:$O$58,$B$9:$B$58,B13,$E$9:$E$58,"Sim"),""))</f>
        <v/>
      </c>
      <c r="V13" s="19">
        <f>IF($A13="","",IF(E13&lt;&gt;"Sim",IF(B13="Tesouro Nacional","Tesouro: sem FGC (risco do governo)","SEM FGC: risco do emissor"),IF(U13&gt;$C$5,"ACIMA DO FGC","dentro do limite")))</f>
        <v/>
      </c>
      <c r="W13" s="16">
        <f>IF($A13="","",IF(E13="Sim",MAX(0,U13-$C$5),""))</f>
        <v/>
      </c>
      <c r="X13" s="19">
        <f>IF($A13="","",IF(M13&lt;0,"vencido",IF(M13&lt;=90,"vence em até 90 dias","")))</f>
        <v/>
      </c>
      <c r="Y13" s="17">
        <f>IF($A13="","",H13/SUM($H$9:$H$58))</f>
        <v/>
      </c>
      <c r="Z13" s="16">
        <f>IF($A13="","",IF(K13=0,0,K13/100*IF(C13="Selic",MAX(0,1-10000/SUMIFS($H$9:$H$58,$C$9:$C$58,"Selic")),1)*IFERROR(H13*((1+N13/100)^(L13/365)-1)/LN(1+N13/100),H13*L13/365)))</f>
        <v/>
      </c>
    </row>
    <row r="14">
      <c r="A14" s="10" t="n"/>
      <c r="B14" s="10" t="n"/>
      <c r="C14" s="10" t="n"/>
      <c r="D14" s="10" t="n"/>
      <c r="E14" s="10" t="n"/>
      <c r="F14" s="10" t="n"/>
      <c r="G14" s="11" t="n"/>
      <c r="H14" s="12" t="n"/>
      <c r="I14" s="11" t="n"/>
      <c r="J14" s="13" t="n"/>
      <c r="K14" s="13" t="n"/>
      <c r="L14" s="14">
        <f>IF($A14="","",I14-G14)</f>
        <v/>
      </c>
      <c r="M14" s="14">
        <f>IF($A14="","",I14-$C$6)</f>
        <v/>
      </c>
      <c r="N14" s="15">
        <f>IF($A14="","",IF(C14="Pós CDI",((1+((1+$C$3/100)^(1/252)-1)*J14/100)^252-1)*100,IF(C14="Selic",$C$3+J14,IF(C14="Pré",J14,IF(C14="IPCA+",((1+$C$4/100)*(1+J14/100)-1)*100,"")))))</f>
        <v/>
      </c>
      <c r="O14" s="16">
        <f>IF($A14="","",H14*(1+N14/100)^(L14/365)-Z14)</f>
        <v/>
      </c>
      <c r="P14" s="17">
        <f>IF($A14="","",IF(D14="Sim",0,IF(L14&lt;=180,0.225,IF(L14&lt;=360,0.2,IF(L14&lt;=720,0.175,0.15)))))</f>
        <v/>
      </c>
      <c r="Q14" s="16">
        <f>IF($A14="","",O14-IF(AND(D14&lt;&gt;"Sim",L14&lt;30),MAX(0,O14-H14)*INDEX('Comparador líquido'!$B$41:$B$70,MAX(1,L14)),0)-MAX(0,O14-H14-IF(AND(D14&lt;&gt;"Sim",L14&lt;30),MAX(0,O14-H14)*INDEX('Comparador líquido'!$B$41:$B$70,MAX(1,L14)),0))*P14)</f>
        <v/>
      </c>
      <c r="R14" s="16">
        <f>IF($A14="","",H14*(1+N14/100)^(MAX(0,MIN(L14,$C$6-G14))/365)-IF(K14=0,0,K14/100*IF(C14="Selic",MAX(0,1-10000/SUMIFS($H$9:$H$58,$C$9:$C$58,"Selic")),1)*IFERROR(H14*((1+N14/100)^(MAX(0,MIN(L14,$C$6-G14))/365)-1)/LN(1+N14/100),H14*MAX(0,MIN(L14,$C$6-G14))/365)))</f>
        <v/>
      </c>
      <c r="S14" s="18">
        <f>IF($A14="","",IFERROR(IF(INDEX(Objetivos!$C$5:$C$14,MATCH(F14,Objetivos!$A$5:$A$14,0))="","",INDEX(Objetivos!$C$5:$C$14,MATCH(F14,Objetivos!$A$5:$A$14,0))),""))</f>
        <v/>
      </c>
      <c r="T14" s="19">
        <f>IF($A14="","",IF(F14="","sem objetivo: preencha",IF(S14="","sem data: se for reserva, precisa de liquidez diária",IF(I14&gt;S14+31,"vence DEPOIS do objetivo: risco de vender antes",IF(I14&lt;S14-365,"vence mais de 1 ano antes: risco de reinvestir","casado com o objetivo")))))</f>
        <v/>
      </c>
      <c r="U14" s="16">
        <f>IF($A14="","",IF(E14="Sim",SUMIFS($O$9:$O$58,$B$9:$B$58,B14,$E$9:$E$58,"Sim"),""))</f>
        <v/>
      </c>
      <c r="V14" s="19">
        <f>IF($A14="","",IF(E14&lt;&gt;"Sim",IF(B14="Tesouro Nacional","Tesouro: sem FGC (risco do governo)","SEM FGC: risco do emissor"),IF(U14&gt;$C$5,"ACIMA DO FGC","dentro do limite")))</f>
        <v/>
      </c>
      <c r="W14" s="16">
        <f>IF($A14="","",IF(E14="Sim",MAX(0,U14-$C$5),""))</f>
        <v/>
      </c>
      <c r="X14" s="19">
        <f>IF($A14="","",IF(M14&lt;0,"vencido",IF(M14&lt;=90,"vence em até 90 dias","")))</f>
        <v/>
      </c>
      <c r="Y14" s="17">
        <f>IF($A14="","",H14/SUM($H$9:$H$58))</f>
        <v/>
      </c>
      <c r="Z14" s="16">
        <f>IF($A14="","",IF(K14=0,0,K14/100*IF(C14="Selic",MAX(0,1-10000/SUMIFS($H$9:$H$58,$C$9:$C$58,"Selic")),1)*IFERROR(H14*((1+N14/100)^(L14/365)-1)/LN(1+N14/100),H14*L14/365)))</f>
        <v/>
      </c>
    </row>
    <row r="15">
      <c r="A15" s="10" t="n"/>
      <c r="B15" s="10" t="n"/>
      <c r="C15" s="10" t="n"/>
      <c r="D15" s="10" t="n"/>
      <c r="E15" s="10" t="n"/>
      <c r="F15" s="10" t="n"/>
      <c r="G15" s="11" t="n"/>
      <c r="H15" s="12" t="n"/>
      <c r="I15" s="11" t="n"/>
      <c r="J15" s="13" t="n"/>
      <c r="K15" s="13" t="n"/>
      <c r="L15" s="14">
        <f>IF($A15="","",I15-G15)</f>
        <v/>
      </c>
      <c r="M15" s="14">
        <f>IF($A15="","",I15-$C$6)</f>
        <v/>
      </c>
      <c r="N15" s="15">
        <f>IF($A15="","",IF(C15="Pós CDI",((1+((1+$C$3/100)^(1/252)-1)*J15/100)^252-1)*100,IF(C15="Selic",$C$3+J15,IF(C15="Pré",J15,IF(C15="IPCA+",((1+$C$4/100)*(1+J15/100)-1)*100,"")))))</f>
        <v/>
      </c>
      <c r="O15" s="16">
        <f>IF($A15="","",H15*(1+N15/100)^(L15/365)-Z15)</f>
        <v/>
      </c>
      <c r="P15" s="17">
        <f>IF($A15="","",IF(D15="Sim",0,IF(L15&lt;=180,0.225,IF(L15&lt;=360,0.2,IF(L15&lt;=720,0.175,0.15)))))</f>
        <v/>
      </c>
      <c r="Q15" s="16">
        <f>IF($A15="","",O15-IF(AND(D15&lt;&gt;"Sim",L15&lt;30),MAX(0,O15-H15)*INDEX('Comparador líquido'!$B$41:$B$70,MAX(1,L15)),0)-MAX(0,O15-H15-IF(AND(D15&lt;&gt;"Sim",L15&lt;30),MAX(0,O15-H15)*INDEX('Comparador líquido'!$B$41:$B$70,MAX(1,L15)),0))*P15)</f>
        <v/>
      </c>
      <c r="R15" s="16">
        <f>IF($A15="","",H15*(1+N15/100)^(MAX(0,MIN(L15,$C$6-G15))/365)-IF(K15=0,0,K15/100*IF(C15="Selic",MAX(0,1-10000/SUMIFS($H$9:$H$58,$C$9:$C$58,"Selic")),1)*IFERROR(H15*((1+N15/100)^(MAX(0,MIN(L15,$C$6-G15))/365)-1)/LN(1+N15/100),H15*MAX(0,MIN(L15,$C$6-G15))/365)))</f>
        <v/>
      </c>
      <c r="S15" s="18">
        <f>IF($A15="","",IFERROR(IF(INDEX(Objetivos!$C$5:$C$14,MATCH(F15,Objetivos!$A$5:$A$14,0))="","",INDEX(Objetivos!$C$5:$C$14,MATCH(F15,Objetivos!$A$5:$A$14,0))),""))</f>
        <v/>
      </c>
      <c r="T15" s="19">
        <f>IF($A15="","",IF(F15="","sem objetivo: preencha",IF(S15="","sem data: se for reserva, precisa de liquidez diária",IF(I15&gt;S15+31,"vence DEPOIS do objetivo: risco de vender antes",IF(I15&lt;S15-365,"vence mais de 1 ano antes: risco de reinvestir","casado com o objetivo")))))</f>
        <v/>
      </c>
      <c r="U15" s="16">
        <f>IF($A15="","",IF(E15="Sim",SUMIFS($O$9:$O$58,$B$9:$B$58,B15,$E$9:$E$58,"Sim"),""))</f>
        <v/>
      </c>
      <c r="V15" s="19">
        <f>IF($A15="","",IF(E15&lt;&gt;"Sim",IF(B15="Tesouro Nacional","Tesouro: sem FGC (risco do governo)","SEM FGC: risco do emissor"),IF(U15&gt;$C$5,"ACIMA DO FGC","dentro do limite")))</f>
        <v/>
      </c>
      <c r="W15" s="16">
        <f>IF($A15="","",IF(E15="Sim",MAX(0,U15-$C$5),""))</f>
        <v/>
      </c>
      <c r="X15" s="19">
        <f>IF($A15="","",IF(M15&lt;0,"vencido",IF(M15&lt;=90,"vence em até 90 dias","")))</f>
        <v/>
      </c>
      <c r="Y15" s="17">
        <f>IF($A15="","",H15/SUM($H$9:$H$58))</f>
        <v/>
      </c>
      <c r="Z15" s="16">
        <f>IF($A15="","",IF(K15=0,0,K15/100*IF(C15="Selic",MAX(0,1-10000/SUMIFS($H$9:$H$58,$C$9:$C$58,"Selic")),1)*IFERROR(H15*((1+N15/100)^(L15/365)-1)/LN(1+N15/100),H15*L15/365)))</f>
        <v/>
      </c>
    </row>
    <row r="16">
      <c r="A16" s="10" t="n"/>
      <c r="B16" s="10" t="n"/>
      <c r="C16" s="10" t="n"/>
      <c r="D16" s="10" t="n"/>
      <c r="E16" s="10" t="n"/>
      <c r="F16" s="10" t="n"/>
      <c r="G16" s="11" t="n"/>
      <c r="H16" s="12" t="n"/>
      <c r="I16" s="11" t="n"/>
      <c r="J16" s="13" t="n"/>
      <c r="K16" s="13" t="n"/>
      <c r="L16" s="14">
        <f>IF($A16="","",I16-G16)</f>
        <v/>
      </c>
      <c r="M16" s="14">
        <f>IF($A16="","",I16-$C$6)</f>
        <v/>
      </c>
      <c r="N16" s="15">
        <f>IF($A16="","",IF(C16="Pós CDI",((1+((1+$C$3/100)^(1/252)-1)*J16/100)^252-1)*100,IF(C16="Selic",$C$3+J16,IF(C16="Pré",J16,IF(C16="IPCA+",((1+$C$4/100)*(1+J16/100)-1)*100,"")))))</f>
        <v/>
      </c>
      <c r="O16" s="16">
        <f>IF($A16="","",H16*(1+N16/100)^(L16/365)-Z16)</f>
        <v/>
      </c>
      <c r="P16" s="17">
        <f>IF($A16="","",IF(D16="Sim",0,IF(L16&lt;=180,0.225,IF(L16&lt;=360,0.2,IF(L16&lt;=720,0.175,0.15)))))</f>
        <v/>
      </c>
      <c r="Q16" s="16">
        <f>IF($A16="","",O16-IF(AND(D16&lt;&gt;"Sim",L16&lt;30),MAX(0,O16-H16)*INDEX('Comparador líquido'!$B$41:$B$70,MAX(1,L16)),0)-MAX(0,O16-H16-IF(AND(D16&lt;&gt;"Sim",L16&lt;30),MAX(0,O16-H16)*INDEX('Comparador líquido'!$B$41:$B$70,MAX(1,L16)),0))*P16)</f>
        <v/>
      </c>
      <c r="R16" s="16">
        <f>IF($A16="","",H16*(1+N16/100)^(MAX(0,MIN(L16,$C$6-G16))/365)-IF(K16=0,0,K16/100*IF(C16="Selic",MAX(0,1-10000/SUMIFS($H$9:$H$58,$C$9:$C$58,"Selic")),1)*IFERROR(H16*((1+N16/100)^(MAX(0,MIN(L16,$C$6-G16))/365)-1)/LN(1+N16/100),H16*MAX(0,MIN(L16,$C$6-G16))/365)))</f>
        <v/>
      </c>
      <c r="S16" s="18">
        <f>IF($A16="","",IFERROR(IF(INDEX(Objetivos!$C$5:$C$14,MATCH(F16,Objetivos!$A$5:$A$14,0))="","",INDEX(Objetivos!$C$5:$C$14,MATCH(F16,Objetivos!$A$5:$A$14,0))),""))</f>
        <v/>
      </c>
      <c r="T16" s="19">
        <f>IF($A16="","",IF(F16="","sem objetivo: preencha",IF(S16="","sem data: se for reserva, precisa de liquidez diária",IF(I16&gt;S16+31,"vence DEPOIS do objetivo: risco de vender antes",IF(I16&lt;S16-365,"vence mais de 1 ano antes: risco de reinvestir","casado com o objetivo")))))</f>
        <v/>
      </c>
      <c r="U16" s="16">
        <f>IF($A16="","",IF(E16="Sim",SUMIFS($O$9:$O$58,$B$9:$B$58,B16,$E$9:$E$58,"Sim"),""))</f>
        <v/>
      </c>
      <c r="V16" s="19">
        <f>IF($A16="","",IF(E16&lt;&gt;"Sim",IF(B16="Tesouro Nacional","Tesouro: sem FGC (risco do governo)","SEM FGC: risco do emissor"),IF(U16&gt;$C$5,"ACIMA DO FGC","dentro do limite")))</f>
        <v/>
      </c>
      <c r="W16" s="16">
        <f>IF($A16="","",IF(E16="Sim",MAX(0,U16-$C$5),""))</f>
        <v/>
      </c>
      <c r="X16" s="19">
        <f>IF($A16="","",IF(M16&lt;0,"vencido",IF(M16&lt;=90,"vence em até 90 dias","")))</f>
        <v/>
      </c>
      <c r="Y16" s="17">
        <f>IF($A16="","",H16/SUM($H$9:$H$58))</f>
        <v/>
      </c>
      <c r="Z16" s="16">
        <f>IF($A16="","",IF(K16=0,0,K16/100*IF(C16="Selic",MAX(0,1-10000/SUMIFS($H$9:$H$58,$C$9:$C$58,"Selic")),1)*IFERROR(H16*((1+N16/100)^(L16/365)-1)/LN(1+N16/100),H16*L16/365)))</f>
        <v/>
      </c>
    </row>
    <row r="17">
      <c r="A17" s="10" t="n"/>
      <c r="B17" s="10" t="n"/>
      <c r="C17" s="10" t="n"/>
      <c r="D17" s="10" t="n"/>
      <c r="E17" s="10" t="n"/>
      <c r="F17" s="10" t="n"/>
      <c r="G17" s="11" t="n"/>
      <c r="H17" s="12" t="n"/>
      <c r="I17" s="11" t="n"/>
      <c r="J17" s="13" t="n"/>
      <c r="K17" s="13" t="n"/>
      <c r="L17" s="14">
        <f>IF($A17="","",I17-G17)</f>
        <v/>
      </c>
      <c r="M17" s="14">
        <f>IF($A17="","",I17-$C$6)</f>
        <v/>
      </c>
      <c r="N17" s="15">
        <f>IF($A17="","",IF(C17="Pós CDI",((1+((1+$C$3/100)^(1/252)-1)*J17/100)^252-1)*100,IF(C17="Selic",$C$3+J17,IF(C17="Pré",J17,IF(C17="IPCA+",((1+$C$4/100)*(1+J17/100)-1)*100,"")))))</f>
        <v/>
      </c>
      <c r="O17" s="16">
        <f>IF($A17="","",H17*(1+N17/100)^(L17/365)-Z17)</f>
        <v/>
      </c>
      <c r="P17" s="17">
        <f>IF($A17="","",IF(D17="Sim",0,IF(L17&lt;=180,0.225,IF(L17&lt;=360,0.2,IF(L17&lt;=720,0.175,0.15)))))</f>
        <v/>
      </c>
      <c r="Q17" s="16">
        <f>IF($A17="","",O17-IF(AND(D17&lt;&gt;"Sim",L17&lt;30),MAX(0,O17-H17)*INDEX('Comparador líquido'!$B$41:$B$70,MAX(1,L17)),0)-MAX(0,O17-H17-IF(AND(D17&lt;&gt;"Sim",L17&lt;30),MAX(0,O17-H17)*INDEX('Comparador líquido'!$B$41:$B$70,MAX(1,L17)),0))*P17)</f>
        <v/>
      </c>
      <c r="R17" s="16">
        <f>IF($A17="","",H17*(1+N17/100)^(MAX(0,MIN(L17,$C$6-G17))/365)-IF(K17=0,0,K17/100*IF(C17="Selic",MAX(0,1-10000/SUMIFS($H$9:$H$58,$C$9:$C$58,"Selic")),1)*IFERROR(H17*((1+N17/100)^(MAX(0,MIN(L17,$C$6-G17))/365)-1)/LN(1+N17/100),H17*MAX(0,MIN(L17,$C$6-G17))/365)))</f>
        <v/>
      </c>
      <c r="S17" s="18">
        <f>IF($A17="","",IFERROR(IF(INDEX(Objetivos!$C$5:$C$14,MATCH(F17,Objetivos!$A$5:$A$14,0))="","",INDEX(Objetivos!$C$5:$C$14,MATCH(F17,Objetivos!$A$5:$A$14,0))),""))</f>
        <v/>
      </c>
      <c r="T17" s="19">
        <f>IF($A17="","",IF(F17="","sem objetivo: preencha",IF(S17="","sem data: se for reserva, precisa de liquidez diária",IF(I17&gt;S17+31,"vence DEPOIS do objetivo: risco de vender antes",IF(I17&lt;S17-365,"vence mais de 1 ano antes: risco de reinvestir","casado com o objetivo")))))</f>
        <v/>
      </c>
      <c r="U17" s="16">
        <f>IF($A17="","",IF(E17="Sim",SUMIFS($O$9:$O$58,$B$9:$B$58,B17,$E$9:$E$58,"Sim"),""))</f>
        <v/>
      </c>
      <c r="V17" s="19">
        <f>IF($A17="","",IF(E17&lt;&gt;"Sim",IF(B17="Tesouro Nacional","Tesouro: sem FGC (risco do governo)","SEM FGC: risco do emissor"),IF(U17&gt;$C$5,"ACIMA DO FGC","dentro do limite")))</f>
        <v/>
      </c>
      <c r="W17" s="16">
        <f>IF($A17="","",IF(E17="Sim",MAX(0,U17-$C$5),""))</f>
        <v/>
      </c>
      <c r="X17" s="19">
        <f>IF($A17="","",IF(M17&lt;0,"vencido",IF(M17&lt;=90,"vence em até 90 dias","")))</f>
        <v/>
      </c>
      <c r="Y17" s="17">
        <f>IF($A17="","",H17/SUM($H$9:$H$58))</f>
        <v/>
      </c>
      <c r="Z17" s="16">
        <f>IF($A17="","",IF(K17=0,0,K17/100*IF(C17="Selic",MAX(0,1-10000/SUMIFS($H$9:$H$58,$C$9:$C$58,"Selic")),1)*IFERROR(H17*((1+N17/100)^(L17/365)-1)/LN(1+N17/100),H17*L17/365)))</f>
        <v/>
      </c>
    </row>
    <row r="18">
      <c r="A18" s="10" t="n"/>
      <c r="B18" s="10" t="n"/>
      <c r="C18" s="10" t="n"/>
      <c r="D18" s="10" t="n"/>
      <c r="E18" s="10" t="n"/>
      <c r="F18" s="10" t="n"/>
      <c r="G18" s="11" t="n"/>
      <c r="H18" s="12" t="n"/>
      <c r="I18" s="11" t="n"/>
      <c r="J18" s="13" t="n"/>
      <c r="K18" s="13" t="n"/>
      <c r="L18" s="14">
        <f>IF($A18="","",I18-G18)</f>
        <v/>
      </c>
      <c r="M18" s="14">
        <f>IF($A18="","",I18-$C$6)</f>
        <v/>
      </c>
      <c r="N18" s="15">
        <f>IF($A18="","",IF(C18="Pós CDI",((1+((1+$C$3/100)^(1/252)-1)*J18/100)^252-1)*100,IF(C18="Selic",$C$3+J18,IF(C18="Pré",J18,IF(C18="IPCA+",((1+$C$4/100)*(1+J18/100)-1)*100,"")))))</f>
        <v/>
      </c>
      <c r="O18" s="16">
        <f>IF($A18="","",H18*(1+N18/100)^(L18/365)-Z18)</f>
        <v/>
      </c>
      <c r="P18" s="17">
        <f>IF($A18="","",IF(D18="Sim",0,IF(L18&lt;=180,0.225,IF(L18&lt;=360,0.2,IF(L18&lt;=720,0.175,0.15)))))</f>
        <v/>
      </c>
      <c r="Q18" s="16">
        <f>IF($A18="","",O18-IF(AND(D18&lt;&gt;"Sim",L18&lt;30),MAX(0,O18-H18)*INDEX('Comparador líquido'!$B$41:$B$70,MAX(1,L18)),0)-MAX(0,O18-H18-IF(AND(D18&lt;&gt;"Sim",L18&lt;30),MAX(0,O18-H18)*INDEX('Comparador líquido'!$B$41:$B$70,MAX(1,L18)),0))*P18)</f>
        <v/>
      </c>
      <c r="R18" s="16">
        <f>IF($A18="","",H18*(1+N18/100)^(MAX(0,MIN(L18,$C$6-G18))/365)-IF(K18=0,0,K18/100*IF(C18="Selic",MAX(0,1-10000/SUMIFS($H$9:$H$58,$C$9:$C$58,"Selic")),1)*IFERROR(H18*((1+N18/100)^(MAX(0,MIN(L18,$C$6-G18))/365)-1)/LN(1+N18/100),H18*MAX(0,MIN(L18,$C$6-G18))/365)))</f>
        <v/>
      </c>
      <c r="S18" s="18">
        <f>IF($A18="","",IFERROR(IF(INDEX(Objetivos!$C$5:$C$14,MATCH(F18,Objetivos!$A$5:$A$14,0))="","",INDEX(Objetivos!$C$5:$C$14,MATCH(F18,Objetivos!$A$5:$A$14,0))),""))</f>
        <v/>
      </c>
      <c r="T18" s="19">
        <f>IF($A18="","",IF(F18="","sem objetivo: preencha",IF(S18="","sem data: se for reserva, precisa de liquidez diária",IF(I18&gt;S18+31,"vence DEPOIS do objetivo: risco de vender antes",IF(I18&lt;S18-365,"vence mais de 1 ano antes: risco de reinvestir","casado com o objetivo")))))</f>
        <v/>
      </c>
      <c r="U18" s="16">
        <f>IF($A18="","",IF(E18="Sim",SUMIFS($O$9:$O$58,$B$9:$B$58,B18,$E$9:$E$58,"Sim"),""))</f>
        <v/>
      </c>
      <c r="V18" s="19">
        <f>IF($A18="","",IF(E18&lt;&gt;"Sim",IF(B18="Tesouro Nacional","Tesouro: sem FGC (risco do governo)","SEM FGC: risco do emissor"),IF(U18&gt;$C$5,"ACIMA DO FGC","dentro do limite")))</f>
        <v/>
      </c>
      <c r="W18" s="16">
        <f>IF($A18="","",IF(E18="Sim",MAX(0,U18-$C$5),""))</f>
        <v/>
      </c>
      <c r="X18" s="19">
        <f>IF($A18="","",IF(M18&lt;0,"vencido",IF(M18&lt;=90,"vence em até 90 dias","")))</f>
        <v/>
      </c>
      <c r="Y18" s="17">
        <f>IF($A18="","",H18/SUM($H$9:$H$58))</f>
        <v/>
      </c>
      <c r="Z18" s="16">
        <f>IF($A18="","",IF(K18=0,0,K18/100*IF(C18="Selic",MAX(0,1-10000/SUMIFS($H$9:$H$58,$C$9:$C$58,"Selic")),1)*IFERROR(H18*((1+N18/100)^(L18/365)-1)/LN(1+N18/100),H18*L18/365)))</f>
        <v/>
      </c>
    </row>
    <row r="19">
      <c r="A19" s="10" t="n"/>
      <c r="B19" s="10" t="n"/>
      <c r="C19" s="10" t="n"/>
      <c r="D19" s="10" t="n"/>
      <c r="E19" s="10" t="n"/>
      <c r="F19" s="10" t="n"/>
      <c r="G19" s="11" t="n"/>
      <c r="H19" s="12" t="n"/>
      <c r="I19" s="11" t="n"/>
      <c r="J19" s="13" t="n"/>
      <c r="K19" s="13" t="n"/>
      <c r="L19" s="14">
        <f>IF($A19="","",I19-G19)</f>
        <v/>
      </c>
      <c r="M19" s="14">
        <f>IF($A19="","",I19-$C$6)</f>
        <v/>
      </c>
      <c r="N19" s="15">
        <f>IF($A19="","",IF(C19="Pós CDI",((1+((1+$C$3/100)^(1/252)-1)*J19/100)^252-1)*100,IF(C19="Selic",$C$3+J19,IF(C19="Pré",J19,IF(C19="IPCA+",((1+$C$4/100)*(1+J19/100)-1)*100,"")))))</f>
        <v/>
      </c>
      <c r="O19" s="16">
        <f>IF($A19="","",H19*(1+N19/100)^(L19/365)-Z19)</f>
        <v/>
      </c>
      <c r="P19" s="17">
        <f>IF($A19="","",IF(D19="Sim",0,IF(L19&lt;=180,0.225,IF(L19&lt;=360,0.2,IF(L19&lt;=720,0.175,0.15)))))</f>
        <v/>
      </c>
      <c r="Q19" s="16">
        <f>IF($A19="","",O19-IF(AND(D19&lt;&gt;"Sim",L19&lt;30),MAX(0,O19-H19)*INDEX('Comparador líquido'!$B$41:$B$70,MAX(1,L19)),0)-MAX(0,O19-H19-IF(AND(D19&lt;&gt;"Sim",L19&lt;30),MAX(0,O19-H19)*INDEX('Comparador líquido'!$B$41:$B$70,MAX(1,L19)),0))*P19)</f>
        <v/>
      </c>
      <c r="R19" s="16">
        <f>IF($A19="","",H19*(1+N19/100)^(MAX(0,MIN(L19,$C$6-G19))/365)-IF(K19=0,0,K19/100*IF(C19="Selic",MAX(0,1-10000/SUMIFS($H$9:$H$58,$C$9:$C$58,"Selic")),1)*IFERROR(H19*((1+N19/100)^(MAX(0,MIN(L19,$C$6-G19))/365)-1)/LN(1+N19/100),H19*MAX(0,MIN(L19,$C$6-G19))/365)))</f>
        <v/>
      </c>
      <c r="S19" s="18">
        <f>IF($A19="","",IFERROR(IF(INDEX(Objetivos!$C$5:$C$14,MATCH(F19,Objetivos!$A$5:$A$14,0))="","",INDEX(Objetivos!$C$5:$C$14,MATCH(F19,Objetivos!$A$5:$A$14,0))),""))</f>
        <v/>
      </c>
      <c r="T19" s="19">
        <f>IF($A19="","",IF(F19="","sem objetivo: preencha",IF(S19="","sem data: se for reserva, precisa de liquidez diária",IF(I19&gt;S19+31,"vence DEPOIS do objetivo: risco de vender antes",IF(I19&lt;S19-365,"vence mais de 1 ano antes: risco de reinvestir","casado com o objetivo")))))</f>
        <v/>
      </c>
      <c r="U19" s="16">
        <f>IF($A19="","",IF(E19="Sim",SUMIFS($O$9:$O$58,$B$9:$B$58,B19,$E$9:$E$58,"Sim"),""))</f>
        <v/>
      </c>
      <c r="V19" s="19">
        <f>IF($A19="","",IF(E19&lt;&gt;"Sim",IF(B19="Tesouro Nacional","Tesouro: sem FGC (risco do governo)","SEM FGC: risco do emissor"),IF(U19&gt;$C$5,"ACIMA DO FGC","dentro do limite")))</f>
        <v/>
      </c>
      <c r="W19" s="16">
        <f>IF($A19="","",IF(E19="Sim",MAX(0,U19-$C$5),""))</f>
        <v/>
      </c>
      <c r="X19" s="19">
        <f>IF($A19="","",IF(M19&lt;0,"vencido",IF(M19&lt;=90,"vence em até 90 dias","")))</f>
        <v/>
      </c>
      <c r="Y19" s="17">
        <f>IF($A19="","",H19/SUM($H$9:$H$58))</f>
        <v/>
      </c>
      <c r="Z19" s="16">
        <f>IF($A19="","",IF(K19=0,0,K19/100*IF(C19="Selic",MAX(0,1-10000/SUMIFS($H$9:$H$58,$C$9:$C$58,"Selic")),1)*IFERROR(H19*((1+N19/100)^(L19/365)-1)/LN(1+N19/100),H19*L19/365)))</f>
        <v/>
      </c>
    </row>
    <row r="20">
      <c r="A20" s="10" t="n"/>
      <c r="B20" s="10" t="n"/>
      <c r="C20" s="10" t="n"/>
      <c r="D20" s="10" t="n"/>
      <c r="E20" s="10" t="n"/>
      <c r="F20" s="10" t="n"/>
      <c r="G20" s="11" t="n"/>
      <c r="H20" s="12" t="n"/>
      <c r="I20" s="11" t="n"/>
      <c r="J20" s="13" t="n"/>
      <c r="K20" s="13" t="n"/>
      <c r="L20" s="14">
        <f>IF($A20="","",I20-G20)</f>
        <v/>
      </c>
      <c r="M20" s="14">
        <f>IF($A20="","",I20-$C$6)</f>
        <v/>
      </c>
      <c r="N20" s="15">
        <f>IF($A20="","",IF(C20="Pós CDI",((1+((1+$C$3/100)^(1/252)-1)*J20/100)^252-1)*100,IF(C20="Selic",$C$3+J20,IF(C20="Pré",J20,IF(C20="IPCA+",((1+$C$4/100)*(1+J20/100)-1)*100,"")))))</f>
        <v/>
      </c>
      <c r="O20" s="16">
        <f>IF($A20="","",H20*(1+N20/100)^(L20/365)-Z20)</f>
        <v/>
      </c>
      <c r="P20" s="17">
        <f>IF($A20="","",IF(D20="Sim",0,IF(L20&lt;=180,0.225,IF(L20&lt;=360,0.2,IF(L20&lt;=720,0.175,0.15)))))</f>
        <v/>
      </c>
      <c r="Q20" s="16">
        <f>IF($A20="","",O20-IF(AND(D20&lt;&gt;"Sim",L20&lt;30),MAX(0,O20-H20)*INDEX('Comparador líquido'!$B$41:$B$70,MAX(1,L20)),0)-MAX(0,O20-H20-IF(AND(D20&lt;&gt;"Sim",L20&lt;30),MAX(0,O20-H20)*INDEX('Comparador líquido'!$B$41:$B$70,MAX(1,L20)),0))*P20)</f>
        <v/>
      </c>
      <c r="R20" s="16">
        <f>IF($A20="","",H20*(1+N20/100)^(MAX(0,MIN(L20,$C$6-G20))/365)-IF(K20=0,0,K20/100*IF(C20="Selic",MAX(0,1-10000/SUMIFS($H$9:$H$58,$C$9:$C$58,"Selic")),1)*IFERROR(H20*((1+N20/100)^(MAX(0,MIN(L20,$C$6-G20))/365)-1)/LN(1+N20/100),H20*MAX(0,MIN(L20,$C$6-G20))/365)))</f>
        <v/>
      </c>
      <c r="S20" s="18">
        <f>IF($A20="","",IFERROR(IF(INDEX(Objetivos!$C$5:$C$14,MATCH(F20,Objetivos!$A$5:$A$14,0))="","",INDEX(Objetivos!$C$5:$C$14,MATCH(F20,Objetivos!$A$5:$A$14,0))),""))</f>
        <v/>
      </c>
      <c r="T20" s="19">
        <f>IF($A20="","",IF(F20="","sem objetivo: preencha",IF(S20="","sem data: se for reserva, precisa de liquidez diária",IF(I20&gt;S20+31,"vence DEPOIS do objetivo: risco de vender antes",IF(I20&lt;S20-365,"vence mais de 1 ano antes: risco de reinvestir","casado com o objetivo")))))</f>
        <v/>
      </c>
      <c r="U20" s="16">
        <f>IF($A20="","",IF(E20="Sim",SUMIFS($O$9:$O$58,$B$9:$B$58,B20,$E$9:$E$58,"Sim"),""))</f>
        <v/>
      </c>
      <c r="V20" s="19">
        <f>IF($A20="","",IF(E20&lt;&gt;"Sim",IF(B20="Tesouro Nacional","Tesouro: sem FGC (risco do governo)","SEM FGC: risco do emissor"),IF(U20&gt;$C$5,"ACIMA DO FGC","dentro do limite")))</f>
        <v/>
      </c>
      <c r="W20" s="16">
        <f>IF($A20="","",IF(E20="Sim",MAX(0,U20-$C$5),""))</f>
        <v/>
      </c>
      <c r="X20" s="19">
        <f>IF($A20="","",IF(M20&lt;0,"vencido",IF(M20&lt;=90,"vence em até 90 dias","")))</f>
        <v/>
      </c>
      <c r="Y20" s="17">
        <f>IF($A20="","",H20/SUM($H$9:$H$58))</f>
        <v/>
      </c>
      <c r="Z20" s="16">
        <f>IF($A20="","",IF(K20=0,0,K20/100*IF(C20="Selic",MAX(0,1-10000/SUMIFS($H$9:$H$58,$C$9:$C$58,"Selic")),1)*IFERROR(H20*((1+N20/100)^(L20/365)-1)/LN(1+N20/100),H20*L20/365)))</f>
        <v/>
      </c>
    </row>
    <row r="21">
      <c r="A21" s="10" t="n"/>
      <c r="B21" s="10" t="n"/>
      <c r="C21" s="10" t="n"/>
      <c r="D21" s="10" t="n"/>
      <c r="E21" s="10" t="n"/>
      <c r="F21" s="10" t="n"/>
      <c r="G21" s="11" t="n"/>
      <c r="H21" s="12" t="n"/>
      <c r="I21" s="11" t="n"/>
      <c r="J21" s="13" t="n"/>
      <c r="K21" s="13" t="n"/>
      <c r="L21" s="14">
        <f>IF($A21="","",I21-G21)</f>
        <v/>
      </c>
      <c r="M21" s="14">
        <f>IF($A21="","",I21-$C$6)</f>
        <v/>
      </c>
      <c r="N21" s="15">
        <f>IF($A21="","",IF(C21="Pós CDI",((1+((1+$C$3/100)^(1/252)-1)*J21/100)^252-1)*100,IF(C21="Selic",$C$3+J21,IF(C21="Pré",J21,IF(C21="IPCA+",((1+$C$4/100)*(1+J21/100)-1)*100,"")))))</f>
        <v/>
      </c>
      <c r="O21" s="16">
        <f>IF($A21="","",H21*(1+N21/100)^(L21/365)-Z21)</f>
        <v/>
      </c>
      <c r="P21" s="17">
        <f>IF($A21="","",IF(D21="Sim",0,IF(L21&lt;=180,0.225,IF(L21&lt;=360,0.2,IF(L21&lt;=720,0.175,0.15)))))</f>
        <v/>
      </c>
      <c r="Q21" s="16">
        <f>IF($A21="","",O21-IF(AND(D21&lt;&gt;"Sim",L21&lt;30),MAX(0,O21-H21)*INDEX('Comparador líquido'!$B$41:$B$70,MAX(1,L21)),0)-MAX(0,O21-H21-IF(AND(D21&lt;&gt;"Sim",L21&lt;30),MAX(0,O21-H21)*INDEX('Comparador líquido'!$B$41:$B$70,MAX(1,L21)),0))*P21)</f>
        <v/>
      </c>
      <c r="R21" s="16">
        <f>IF($A21="","",H21*(1+N21/100)^(MAX(0,MIN(L21,$C$6-G21))/365)-IF(K21=0,0,K21/100*IF(C21="Selic",MAX(0,1-10000/SUMIFS($H$9:$H$58,$C$9:$C$58,"Selic")),1)*IFERROR(H21*((1+N21/100)^(MAX(0,MIN(L21,$C$6-G21))/365)-1)/LN(1+N21/100),H21*MAX(0,MIN(L21,$C$6-G21))/365)))</f>
        <v/>
      </c>
      <c r="S21" s="18">
        <f>IF($A21="","",IFERROR(IF(INDEX(Objetivos!$C$5:$C$14,MATCH(F21,Objetivos!$A$5:$A$14,0))="","",INDEX(Objetivos!$C$5:$C$14,MATCH(F21,Objetivos!$A$5:$A$14,0))),""))</f>
        <v/>
      </c>
      <c r="T21" s="19">
        <f>IF($A21="","",IF(F21="","sem objetivo: preencha",IF(S21="","sem data: se for reserva, precisa de liquidez diária",IF(I21&gt;S21+31,"vence DEPOIS do objetivo: risco de vender antes",IF(I21&lt;S21-365,"vence mais de 1 ano antes: risco de reinvestir","casado com o objetivo")))))</f>
        <v/>
      </c>
      <c r="U21" s="16">
        <f>IF($A21="","",IF(E21="Sim",SUMIFS($O$9:$O$58,$B$9:$B$58,B21,$E$9:$E$58,"Sim"),""))</f>
        <v/>
      </c>
      <c r="V21" s="19">
        <f>IF($A21="","",IF(E21&lt;&gt;"Sim",IF(B21="Tesouro Nacional","Tesouro: sem FGC (risco do governo)","SEM FGC: risco do emissor"),IF(U21&gt;$C$5,"ACIMA DO FGC","dentro do limite")))</f>
        <v/>
      </c>
      <c r="W21" s="16">
        <f>IF($A21="","",IF(E21="Sim",MAX(0,U21-$C$5),""))</f>
        <v/>
      </c>
      <c r="X21" s="19">
        <f>IF($A21="","",IF(M21&lt;0,"vencido",IF(M21&lt;=90,"vence em até 90 dias","")))</f>
        <v/>
      </c>
      <c r="Y21" s="17">
        <f>IF($A21="","",H21/SUM($H$9:$H$58))</f>
        <v/>
      </c>
      <c r="Z21" s="16">
        <f>IF($A21="","",IF(K21=0,0,K21/100*IF(C21="Selic",MAX(0,1-10000/SUMIFS($H$9:$H$58,$C$9:$C$58,"Selic")),1)*IFERROR(H21*((1+N21/100)^(L21/365)-1)/LN(1+N21/100),H21*L21/365)))</f>
        <v/>
      </c>
    </row>
    <row r="22">
      <c r="A22" s="10" t="n"/>
      <c r="B22" s="10" t="n"/>
      <c r="C22" s="10" t="n"/>
      <c r="D22" s="10" t="n"/>
      <c r="E22" s="10" t="n"/>
      <c r="F22" s="10" t="n"/>
      <c r="G22" s="11" t="n"/>
      <c r="H22" s="12" t="n"/>
      <c r="I22" s="11" t="n"/>
      <c r="J22" s="13" t="n"/>
      <c r="K22" s="13" t="n"/>
      <c r="L22" s="14">
        <f>IF($A22="","",I22-G22)</f>
        <v/>
      </c>
      <c r="M22" s="14">
        <f>IF($A22="","",I22-$C$6)</f>
        <v/>
      </c>
      <c r="N22" s="15">
        <f>IF($A22="","",IF(C22="Pós CDI",((1+((1+$C$3/100)^(1/252)-1)*J22/100)^252-1)*100,IF(C22="Selic",$C$3+J22,IF(C22="Pré",J22,IF(C22="IPCA+",((1+$C$4/100)*(1+J22/100)-1)*100,"")))))</f>
        <v/>
      </c>
      <c r="O22" s="16">
        <f>IF($A22="","",H22*(1+N22/100)^(L22/365)-Z22)</f>
        <v/>
      </c>
      <c r="P22" s="17">
        <f>IF($A22="","",IF(D22="Sim",0,IF(L22&lt;=180,0.225,IF(L22&lt;=360,0.2,IF(L22&lt;=720,0.175,0.15)))))</f>
        <v/>
      </c>
      <c r="Q22" s="16">
        <f>IF($A22="","",O22-IF(AND(D22&lt;&gt;"Sim",L22&lt;30),MAX(0,O22-H22)*INDEX('Comparador líquido'!$B$41:$B$70,MAX(1,L22)),0)-MAX(0,O22-H22-IF(AND(D22&lt;&gt;"Sim",L22&lt;30),MAX(0,O22-H22)*INDEX('Comparador líquido'!$B$41:$B$70,MAX(1,L22)),0))*P22)</f>
        <v/>
      </c>
      <c r="R22" s="16">
        <f>IF($A22="","",H22*(1+N22/100)^(MAX(0,MIN(L22,$C$6-G22))/365)-IF(K22=0,0,K22/100*IF(C22="Selic",MAX(0,1-10000/SUMIFS($H$9:$H$58,$C$9:$C$58,"Selic")),1)*IFERROR(H22*((1+N22/100)^(MAX(0,MIN(L22,$C$6-G22))/365)-1)/LN(1+N22/100),H22*MAX(0,MIN(L22,$C$6-G22))/365)))</f>
        <v/>
      </c>
      <c r="S22" s="18">
        <f>IF($A22="","",IFERROR(IF(INDEX(Objetivos!$C$5:$C$14,MATCH(F22,Objetivos!$A$5:$A$14,0))="","",INDEX(Objetivos!$C$5:$C$14,MATCH(F22,Objetivos!$A$5:$A$14,0))),""))</f>
        <v/>
      </c>
      <c r="T22" s="19">
        <f>IF($A22="","",IF(F22="","sem objetivo: preencha",IF(S22="","sem data: se for reserva, precisa de liquidez diária",IF(I22&gt;S22+31,"vence DEPOIS do objetivo: risco de vender antes",IF(I22&lt;S22-365,"vence mais de 1 ano antes: risco de reinvestir","casado com o objetivo")))))</f>
        <v/>
      </c>
      <c r="U22" s="16">
        <f>IF($A22="","",IF(E22="Sim",SUMIFS($O$9:$O$58,$B$9:$B$58,B22,$E$9:$E$58,"Sim"),""))</f>
        <v/>
      </c>
      <c r="V22" s="19">
        <f>IF($A22="","",IF(E22&lt;&gt;"Sim",IF(B22="Tesouro Nacional","Tesouro: sem FGC (risco do governo)","SEM FGC: risco do emissor"),IF(U22&gt;$C$5,"ACIMA DO FGC","dentro do limite")))</f>
        <v/>
      </c>
      <c r="W22" s="16">
        <f>IF($A22="","",IF(E22="Sim",MAX(0,U22-$C$5),""))</f>
        <v/>
      </c>
      <c r="X22" s="19">
        <f>IF($A22="","",IF(M22&lt;0,"vencido",IF(M22&lt;=90,"vence em até 90 dias","")))</f>
        <v/>
      </c>
      <c r="Y22" s="17">
        <f>IF($A22="","",H22/SUM($H$9:$H$58))</f>
        <v/>
      </c>
      <c r="Z22" s="16">
        <f>IF($A22="","",IF(K22=0,0,K22/100*IF(C22="Selic",MAX(0,1-10000/SUMIFS($H$9:$H$58,$C$9:$C$58,"Selic")),1)*IFERROR(H22*((1+N22/100)^(L22/365)-1)/LN(1+N22/100),H22*L22/365)))</f>
        <v/>
      </c>
    </row>
    <row r="23">
      <c r="A23" s="10" t="n"/>
      <c r="B23" s="10" t="n"/>
      <c r="C23" s="10" t="n"/>
      <c r="D23" s="10" t="n"/>
      <c r="E23" s="10" t="n"/>
      <c r="F23" s="10" t="n"/>
      <c r="G23" s="11" t="n"/>
      <c r="H23" s="12" t="n"/>
      <c r="I23" s="11" t="n"/>
      <c r="J23" s="13" t="n"/>
      <c r="K23" s="13" t="n"/>
      <c r="L23" s="14">
        <f>IF($A23="","",I23-G23)</f>
        <v/>
      </c>
      <c r="M23" s="14">
        <f>IF($A23="","",I23-$C$6)</f>
        <v/>
      </c>
      <c r="N23" s="15">
        <f>IF($A23="","",IF(C23="Pós CDI",((1+((1+$C$3/100)^(1/252)-1)*J23/100)^252-1)*100,IF(C23="Selic",$C$3+J23,IF(C23="Pré",J23,IF(C23="IPCA+",((1+$C$4/100)*(1+J23/100)-1)*100,"")))))</f>
        <v/>
      </c>
      <c r="O23" s="16">
        <f>IF($A23="","",H23*(1+N23/100)^(L23/365)-Z23)</f>
        <v/>
      </c>
      <c r="P23" s="17">
        <f>IF($A23="","",IF(D23="Sim",0,IF(L23&lt;=180,0.225,IF(L23&lt;=360,0.2,IF(L23&lt;=720,0.175,0.15)))))</f>
        <v/>
      </c>
      <c r="Q23" s="16">
        <f>IF($A23="","",O23-IF(AND(D23&lt;&gt;"Sim",L23&lt;30),MAX(0,O23-H23)*INDEX('Comparador líquido'!$B$41:$B$70,MAX(1,L23)),0)-MAX(0,O23-H23-IF(AND(D23&lt;&gt;"Sim",L23&lt;30),MAX(0,O23-H23)*INDEX('Comparador líquido'!$B$41:$B$70,MAX(1,L23)),0))*P23)</f>
        <v/>
      </c>
      <c r="R23" s="16">
        <f>IF($A23="","",H23*(1+N23/100)^(MAX(0,MIN(L23,$C$6-G23))/365)-IF(K23=0,0,K23/100*IF(C23="Selic",MAX(0,1-10000/SUMIFS($H$9:$H$58,$C$9:$C$58,"Selic")),1)*IFERROR(H23*((1+N23/100)^(MAX(0,MIN(L23,$C$6-G23))/365)-1)/LN(1+N23/100),H23*MAX(0,MIN(L23,$C$6-G23))/365)))</f>
        <v/>
      </c>
      <c r="S23" s="18">
        <f>IF($A23="","",IFERROR(IF(INDEX(Objetivos!$C$5:$C$14,MATCH(F23,Objetivos!$A$5:$A$14,0))="","",INDEX(Objetivos!$C$5:$C$14,MATCH(F23,Objetivos!$A$5:$A$14,0))),""))</f>
        <v/>
      </c>
      <c r="T23" s="19">
        <f>IF($A23="","",IF(F23="","sem objetivo: preencha",IF(S23="","sem data: se for reserva, precisa de liquidez diária",IF(I23&gt;S23+31,"vence DEPOIS do objetivo: risco de vender antes",IF(I23&lt;S23-365,"vence mais de 1 ano antes: risco de reinvestir","casado com o objetivo")))))</f>
        <v/>
      </c>
      <c r="U23" s="16">
        <f>IF($A23="","",IF(E23="Sim",SUMIFS($O$9:$O$58,$B$9:$B$58,B23,$E$9:$E$58,"Sim"),""))</f>
        <v/>
      </c>
      <c r="V23" s="19">
        <f>IF($A23="","",IF(E23&lt;&gt;"Sim",IF(B23="Tesouro Nacional","Tesouro: sem FGC (risco do governo)","SEM FGC: risco do emissor"),IF(U23&gt;$C$5,"ACIMA DO FGC","dentro do limite")))</f>
        <v/>
      </c>
      <c r="W23" s="16">
        <f>IF($A23="","",IF(E23="Sim",MAX(0,U23-$C$5),""))</f>
        <v/>
      </c>
      <c r="X23" s="19">
        <f>IF($A23="","",IF(M23&lt;0,"vencido",IF(M23&lt;=90,"vence em até 90 dias","")))</f>
        <v/>
      </c>
      <c r="Y23" s="17">
        <f>IF($A23="","",H23/SUM($H$9:$H$58))</f>
        <v/>
      </c>
      <c r="Z23" s="16">
        <f>IF($A23="","",IF(K23=0,0,K23/100*IF(C23="Selic",MAX(0,1-10000/SUMIFS($H$9:$H$58,$C$9:$C$58,"Selic")),1)*IFERROR(H23*((1+N23/100)^(L23/365)-1)/LN(1+N23/100),H23*L23/365)))</f>
        <v/>
      </c>
    </row>
    <row r="24">
      <c r="A24" s="10" t="n"/>
      <c r="B24" s="10" t="n"/>
      <c r="C24" s="10" t="n"/>
      <c r="D24" s="10" t="n"/>
      <c r="E24" s="10" t="n"/>
      <c r="F24" s="10" t="n"/>
      <c r="G24" s="11" t="n"/>
      <c r="H24" s="12" t="n"/>
      <c r="I24" s="11" t="n"/>
      <c r="J24" s="13" t="n"/>
      <c r="K24" s="13" t="n"/>
      <c r="L24" s="14">
        <f>IF($A24="","",I24-G24)</f>
        <v/>
      </c>
      <c r="M24" s="14">
        <f>IF($A24="","",I24-$C$6)</f>
        <v/>
      </c>
      <c r="N24" s="15">
        <f>IF($A24="","",IF(C24="Pós CDI",((1+((1+$C$3/100)^(1/252)-1)*J24/100)^252-1)*100,IF(C24="Selic",$C$3+J24,IF(C24="Pré",J24,IF(C24="IPCA+",((1+$C$4/100)*(1+J24/100)-1)*100,"")))))</f>
        <v/>
      </c>
      <c r="O24" s="16">
        <f>IF($A24="","",H24*(1+N24/100)^(L24/365)-Z24)</f>
        <v/>
      </c>
      <c r="P24" s="17">
        <f>IF($A24="","",IF(D24="Sim",0,IF(L24&lt;=180,0.225,IF(L24&lt;=360,0.2,IF(L24&lt;=720,0.175,0.15)))))</f>
        <v/>
      </c>
      <c r="Q24" s="16">
        <f>IF($A24="","",O24-IF(AND(D24&lt;&gt;"Sim",L24&lt;30),MAX(0,O24-H24)*INDEX('Comparador líquido'!$B$41:$B$70,MAX(1,L24)),0)-MAX(0,O24-H24-IF(AND(D24&lt;&gt;"Sim",L24&lt;30),MAX(0,O24-H24)*INDEX('Comparador líquido'!$B$41:$B$70,MAX(1,L24)),0))*P24)</f>
        <v/>
      </c>
      <c r="R24" s="16">
        <f>IF($A24="","",H24*(1+N24/100)^(MAX(0,MIN(L24,$C$6-G24))/365)-IF(K24=0,0,K24/100*IF(C24="Selic",MAX(0,1-10000/SUMIFS($H$9:$H$58,$C$9:$C$58,"Selic")),1)*IFERROR(H24*((1+N24/100)^(MAX(0,MIN(L24,$C$6-G24))/365)-1)/LN(1+N24/100),H24*MAX(0,MIN(L24,$C$6-G24))/365)))</f>
        <v/>
      </c>
      <c r="S24" s="18">
        <f>IF($A24="","",IFERROR(IF(INDEX(Objetivos!$C$5:$C$14,MATCH(F24,Objetivos!$A$5:$A$14,0))="","",INDEX(Objetivos!$C$5:$C$14,MATCH(F24,Objetivos!$A$5:$A$14,0))),""))</f>
        <v/>
      </c>
      <c r="T24" s="19">
        <f>IF($A24="","",IF(F24="","sem objetivo: preencha",IF(S24="","sem data: se for reserva, precisa de liquidez diária",IF(I24&gt;S24+31,"vence DEPOIS do objetivo: risco de vender antes",IF(I24&lt;S24-365,"vence mais de 1 ano antes: risco de reinvestir","casado com o objetivo")))))</f>
        <v/>
      </c>
      <c r="U24" s="16">
        <f>IF($A24="","",IF(E24="Sim",SUMIFS($O$9:$O$58,$B$9:$B$58,B24,$E$9:$E$58,"Sim"),""))</f>
        <v/>
      </c>
      <c r="V24" s="19">
        <f>IF($A24="","",IF(E24&lt;&gt;"Sim",IF(B24="Tesouro Nacional","Tesouro: sem FGC (risco do governo)","SEM FGC: risco do emissor"),IF(U24&gt;$C$5,"ACIMA DO FGC","dentro do limite")))</f>
        <v/>
      </c>
      <c r="W24" s="16">
        <f>IF($A24="","",IF(E24="Sim",MAX(0,U24-$C$5),""))</f>
        <v/>
      </c>
      <c r="X24" s="19">
        <f>IF($A24="","",IF(M24&lt;0,"vencido",IF(M24&lt;=90,"vence em até 90 dias","")))</f>
        <v/>
      </c>
      <c r="Y24" s="17">
        <f>IF($A24="","",H24/SUM($H$9:$H$58))</f>
        <v/>
      </c>
      <c r="Z24" s="16">
        <f>IF($A24="","",IF(K24=0,0,K24/100*IF(C24="Selic",MAX(0,1-10000/SUMIFS($H$9:$H$58,$C$9:$C$58,"Selic")),1)*IFERROR(H24*((1+N24/100)^(L24/365)-1)/LN(1+N24/100),H24*L24/365)))</f>
        <v/>
      </c>
    </row>
    <row r="25">
      <c r="A25" s="10" t="n"/>
      <c r="B25" s="10" t="n"/>
      <c r="C25" s="10" t="n"/>
      <c r="D25" s="10" t="n"/>
      <c r="E25" s="10" t="n"/>
      <c r="F25" s="10" t="n"/>
      <c r="G25" s="11" t="n"/>
      <c r="H25" s="12" t="n"/>
      <c r="I25" s="11" t="n"/>
      <c r="J25" s="13" t="n"/>
      <c r="K25" s="13" t="n"/>
      <c r="L25" s="14">
        <f>IF($A25="","",I25-G25)</f>
        <v/>
      </c>
      <c r="M25" s="14">
        <f>IF($A25="","",I25-$C$6)</f>
        <v/>
      </c>
      <c r="N25" s="15">
        <f>IF($A25="","",IF(C25="Pós CDI",((1+((1+$C$3/100)^(1/252)-1)*J25/100)^252-1)*100,IF(C25="Selic",$C$3+J25,IF(C25="Pré",J25,IF(C25="IPCA+",((1+$C$4/100)*(1+J25/100)-1)*100,"")))))</f>
        <v/>
      </c>
      <c r="O25" s="16">
        <f>IF($A25="","",H25*(1+N25/100)^(L25/365)-Z25)</f>
        <v/>
      </c>
      <c r="P25" s="17">
        <f>IF($A25="","",IF(D25="Sim",0,IF(L25&lt;=180,0.225,IF(L25&lt;=360,0.2,IF(L25&lt;=720,0.175,0.15)))))</f>
        <v/>
      </c>
      <c r="Q25" s="16">
        <f>IF($A25="","",O25-IF(AND(D25&lt;&gt;"Sim",L25&lt;30),MAX(0,O25-H25)*INDEX('Comparador líquido'!$B$41:$B$70,MAX(1,L25)),0)-MAX(0,O25-H25-IF(AND(D25&lt;&gt;"Sim",L25&lt;30),MAX(0,O25-H25)*INDEX('Comparador líquido'!$B$41:$B$70,MAX(1,L25)),0))*P25)</f>
        <v/>
      </c>
      <c r="R25" s="16">
        <f>IF($A25="","",H25*(1+N25/100)^(MAX(0,MIN(L25,$C$6-G25))/365)-IF(K25=0,0,K25/100*IF(C25="Selic",MAX(0,1-10000/SUMIFS($H$9:$H$58,$C$9:$C$58,"Selic")),1)*IFERROR(H25*((1+N25/100)^(MAX(0,MIN(L25,$C$6-G25))/365)-1)/LN(1+N25/100),H25*MAX(0,MIN(L25,$C$6-G25))/365)))</f>
        <v/>
      </c>
      <c r="S25" s="18">
        <f>IF($A25="","",IFERROR(IF(INDEX(Objetivos!$C$5:$C$14,MATCH(F25,Objetivos!$A$5:$A$14,0))="","",INDEX(Objetivos!$C$5:$C$14,MATCH(F25,Objetivos!$A$5:$A$14,0))),""))</f>
        <v/>
      </c>
      <c r="T25" s="19">
        <f>IF($A25="","",IF(F25="","sem objetivo: preencha",IF(S25="","sem data: se for reserva, precisa de liquidez diária",IF(I25&gt;S25+31,"vence DEPOIS do objetivo: risco de vender antes",IF(I25&lt;S25-365,"vence mais de 1 ano antes: risco de reinvestir","casado com o objetivo")))))</f>
        <v/>
      </c>
      <c r="U25" s="16">
        <f>IF($A25="","",IF(E25="Sim",SUMIFS($O$9:$O$58,$B$9:$B$58,B25,$E$9:$E$58,"Sim"),""))</f>
        <v/>
      </c>
      <c r="V25" s="19">
        <f>IF($A25="","",IF(E25&lt;&gt;"Sim",IF(B25="Tesouro Nacional","Tesouro: sem FGC (risco do governo)","SEM FGC: risco do emissor"),IF(U25&gt;$C$5,"ACIMA DO FGC","dentro do limite")))</f>
        <v/>
      </c>
      <c r="W25" s="16">
        <f>IF($A25="","",IF(E25="Sim",MAX(0,U25-$C$5),""))</f>
        <v/>
      </c>
      <c r="X25" s="19">
        <f>IF($A25="","",IF(M25&lt;0,"vencido",IF(M25&lt;=90,"vence em até 90 dias","")))</f>
        <v/>
      </c>
      <c r="Y25" s="17">
        <f>IF($A25="","",H25/SUM($H$9:$H$58))</f>
        <v/>
      </c>
      <c r="Z25" s="16">
        <f>IF($A25="","",IF(K25=0,0,K25/100*IF(C25="Selic",MAX(0,1-10000/SUMIFS($H$9:$H$58,$C$9:$C$58,"Selic")),1)*IFERROR(H25*((1+N25/100)^(L25/365)-1)/LN(1+N25/100),H25*L25/365)))</f>
        <v/>
      </c>
    </row>
    <row r="26">
      <c r="A26" s="10" t="n"/>
      <c r="B26" s="10" t="n"/>
      <c r="C26" s="10" t="n"/>
      <c r="D26" s="10" t="n"/>
      <c r="E26" s="10" t="n"/>
      <c r="F26" s="10" t="n"/>
      <c r="G26" s="11" t="n"/>
      <c r="H26" s="12" t="n"/>
      <c r="I26" s="11" t="n"/>
      <c r="J26" s="13" t="n"/>
      <c r="K26" s="13" t="n"/>
      <c r="L26" s="14">
        <f>IF($A26="","",I26-G26)</f>
        <v/>
      </c>
      <c r="M26" s="14">
        <f>IF($A26="","",I26-$C$6)</f>
        <v/>
      </c>
      <c r="N26" s="15">
        <f>IF($A26="","",IF(C26="Pós CDI",((1+((1+$C$3/100)^(1/252)-1)*J26/100)^252-1)*100,IF(C26="Selic",$C$3+J26,IF(C26="Pré",J26,IF(C26="IPCA+",((1+$C$4/100)*(1+J26/100)-1)*100,"")))))</f>
        <v/>
      </c>
      <c r="O26" s="16">
        <f>IF($A26="","",H26*(1+N26/100)^(L26/365)-Z26)</f>
        <v/>
      </c>
      <c r="P26" s="17">
        <f>IF($A26="","",IF(D26="Sim",0,IF(L26&lt;=180,0.225,IF(L26&lt;=360,0.2,IF(L26&lt;=720,0.175,0.15)))))</f>
        <v/>
      </c>
      <c r="Q26" s="16">
        <f>IF($A26="","",O26-IF(AND(D26&lt;&gt;"Sim",L26&lt;30),MAX(0,O26-H26)*INDEX('Comparador líquido'!$B$41:$B$70,MAX(1,L26)),0)-MAX(0,O26-H26-IF(AND(D26&lt;&gt;"Sim",L26&lt;30),MAX(0,O26-H26)*INDEX('Comparador líquido'!$B$41:$B$70,MAX(1,L26)),0))*P26)</f>
        <v/>
      </c>
      <c r="R26" s="16">
        <f>IF($A26="","",H26*(1+N26/100)^(MAX(0,MIN(L26,$C$6-G26))/365)-IF(K26=0,0,K26/100*IF(C26="Selic",MAX(0,1-10000/SUMIFS($H$9:$H$58,$C$9:$C$58,"Selic")),1)*IFERROR(H26*((1+N26/100)^(MAX(0,MIN(L26,$C$6-G26))/365)-1)/LN(1+N26/100),H26*MAX(0,MIN(L26,$C$6-G26))/365)))</f>
        <v/>
      </c>
      <c r="S26" s="18">
        <f>IF($A26="","",IFERROR(IF(INDEX(Objetivos!$C$5:$C$14,MATCH(F26,Objetivos!$A$5:$A$14,0))="","",INDEX(Objetivos!$C$5:$C$14,MATCH(F26,Objetivos!$A$5:$A$14,0))),""))</f>
        <v/>
      </c>
      <c r="T26" s="19">
        <f>IF($A26="","",IF(F26="","sem objetivo: preencha",IF(S26="","sem data: se for reserva, precisa de liquidez diária",IF(I26&gt;S26+31,"vence DEPOIS do objetivo: risco de vender antes",IF(I26&lt;S26-365,"vence mais de 1 ano antes: risco de reinvestir","casado com o objetivo")))))</f>
        <v/>
      </c>
      <c r="U26" s="16">
        <f>IF($A26="","",IF(E26="Sim",SUMIFS($O$9:$O$58,$B$9:$B$58,B26,$E$9:$E$58,"Sim"),""))</f>
        <v/>
      </c>
      <c r="V26" s="19">
        <f>IF($A26="","",IF(E26&lt;&gt;"Sim",IF(B26="Tesouro Nacional","Tesouro: sem FGC (risco do governo)","SEM FGC: risco do emissor"),IF(U26&gt;$C$5,"ACIMA DO FGC","dentro do limite")))</f>
        <v/>
      </c>
      <c r="W26" s="16">
        <f>IF($A26="","",IF(E26="Sim",MAX(0,U26-$C$5),""))</f>
        <v/>
      </c>
      <c r="X26" s="19">
        <f>IF($A26="","",IF(M26&lt;0,"vencido",IF(M26&lt;=90,"vence em até 90 dias","")))</f>
        <v/>
      </c>
      <c r="Y26" s="17">
        <f>IF($A26="","",H26/SUM($H$9:$H$58))</f>
        <v/>
      </c>
      <c r="Z26" s="16">
        <f>IF($A26="","",IF(K26=0,0,K26/100*IF(C26="Selic",MAX(0,1-10000/SUMIFS($H$9:$H$58,$C$9:$C$58,"Selic")),1)*IFERROR(H26*((1+N26/100)^(L26/365)-1)/LN(1+N26/100),H26*L26/365)))</f>
        <v/>
      </c>
    </row>
    <row r="27">
      <c r="A27" s="10" t="n"/>
      <c r="B27" s="10" t="n"/>
      <c r="C27" s="10" t="n"/>
      <c r="D27" s="10" t="n"/>
      <c r="E27" s="10" t="n"/>
      <c r="F27" s="10" t="n"/>
      <c r="G27" s="11" t="n"/>
      <c r="H27" s="12" t="n"/>
      <c r="I27" s="11" t="n"/>
      <c r="J27" s="13" t="n"/>
      <c r="K27" s="13" t="n"/>
      <c r="L27" s="14">
        <f>IF($A27="","",I27-G27)</f>
        <v/>
      </c>
      <c r="M27" s="14">
        <f>IF($A27="","",I27-$C$6)</f>
        <v/>
      </c>
      <c r="N27" s="15">
        <f>IF($A27="","",IF(C27="Pós CDI",((1+((1+$C$3/100)^(1/252)-1)*J27/100)^252-1)*100,IF(C27="Selic",$C$3+J27,IF(C27="Pré",J27,IF(C27="IPCA+",((1+$C$4/100)*(1+J27/100)-1)*100,"")))))</f>
        <v/>
      </c>
      <c r="O27" s="16">
        <f>IF($A27="","",H27*(1+N27/100)^(L27/365)-Z27)</f>
        <v/>
      </c>
      <c r="P27" s="17">
        <f>IF($A27="","",IF(D27="Sim",0,IF(L27&lt;=180,0.225,IF(L27&lt;=360,0.2,IF(L27&lt;=720,0.175,0.15)))))</f>
        <v/>
      </c>
      <c r="Q27" s="16">
        <f>IF($A27="","",O27-IF(AND(D27&lt;&gt;"Sim",L27&lt;30),MAX(0,O27-H27)*INDEX('Comparador líquido'!$B$41:$B$70,MAX(1,L27)),0)-MAX(0,O27-H27-IF(AND(D27&lt;&gt;"Sim",L27&lt;30),MAX(0,O27-H27)*INDEX('Comparador líquido'!$B$41:$B$70,MAX(1,L27)),0))*P27)</f>
        <v/>
      </c>
      <c r="R27" s="16">
        <f>IF($A27="","",H27*(1+N27/100)^(MAX(0,MIN(L27,$C$6-G27))/365)-IF(K27=0,0,K27/100*IF(C27="Selic",MAX(0,1-10000/SUMIFS($H$9:$H$58,$C$9:$C$58,"Selic")),1)*IFERROR(H27*((1+N27/100)^(MAX(0,MIN(L27,$C$6-G27))/365)-1)/LN(1+N27/100),H27*MAX(0,MIN(L27,$C$6-G27))/365)))</f>
        <v/>
      </c>
      <c r="S27" s="18">
        <f>IF($A27="","",IFERROR(IF(INDEX(Objetivos!$C$5:$C$14,MATCH(F27,Objetivos!$A$5:$A$14,0))="","",INDEX(Objetivos!$C$5:$C$14,MATCH(F27,Objetivos!$A$5:$A$14,0))),""))</f>
        <v/>
      </c>
      <c r="T27" s="19">
        <f>IF($A27="","",IF(F27="","sem objetivo: preencha",IF(S27="","sem data: se for reserva, precisa de liquidez diária",IF(I27&gt;S27+31,"vence DEPOIS do objetivo: risco de vender antes",IF(I27&lt;S27-365,"vence mais de 1 ano antes: risco de reinvestir","casado com o objetivo")))))</f>
        <v/>
      </c>
      <c r="U27" s="16">
        <f>IF($A27="","",IF(E27="Sim",SUMIFS($O$9:$O$58,$B$9:$B$58,B27,$E$9:$E$58,"Sim"),""))</f>
        <v/>
      </c>
      <c r="V27" s="19">
        <f>IF($A27="","",IF(E27&lt;&gt;"Sim",IF(B27="Tesouro Nacional","Tesouro: sem FGC (risco do governo)","SEM FGC: risco do emissor"),IF(U27&gt;$C$5,"ACIMA DO FGC","dentro do limite")))</f>
        <v/>
      </c>
      <c r="W27" s="16">
        <f>IF($A27="","",IF(E27="Sim",MAX(0,U27-$C$5),""))</f>
        <v/>
      </c>
      <c r="X27" s="19">
        <f>IF($A27="","",IF(M27&lt;0,"vencido",IF(M27&lt;=90,"vence em até 90 dias","")))</f>
        <v/>
      </c>
      <c r="Y27" s="17">
        <f>IF($A27="","",H27/SUM($H$9:$H$58))</f>
        <v/>
      </c>
      <c r="Z27" s="16">
        <f>IF($A27="","",IF(K27=0,0,K27/100*IF(C27="Selic",MAX(0,1-10000/SUMIFS($H$9:$H$58,$C$9:$C$58,"Selic")),1)*IFERROR(H27*((1+N27/100)^(L27/365)-1)/LN(1+N27/100),H27*L27/365)))</f>
        <v/>
      </c>
    </row>
    <row r="28">
      <c r="A28" s="10" t="n"/>
      <c r="B28" s="10" t="n"/>
      <c r="C28" s="10" t="n"/>
      <c r="D28" s="10" t="n"/>
      <c r="E28" s="10" t="n"/>
      <c r="F28" s="10" t="n"/>
      <c r="G28" s="11" t="n"/>
      <c r="H28" s="12" t="n"/>
      <c r="I28" s="11" t="n"/>
      <c r="J28" s="13" t="n"/>
      <c r="K28" s="13" t="n"/>
      <c r="L28" s="14">
        <f>IF($A28="","",I28-G28)</f>
        <v/>
      </c>
      <c r="M28" s="14">
        <f>IF($A28="","",I28-$C$6)</f>
        <v/>
      </c>
      <c r="N28" s="15">
        <f>IF($A28="","",IF(C28="Pós CDI",((1+((1+$C$3/100)^(1/252)-1)*J28/100)^252-1)*100,IF(C28="Selic",$C$3+J28,IF(C28="Pré",J28,IF(C28="IPCA+",((1+$C$4/100)*(1+J28/100)-1)*100,"")))))</f>
        <v/>
      </c>
      <c r="O28" s="16">
        <f>IF($A28="","",H28*(1+N28/100)^(L28/365)-Z28)</f>
        <v/>
      </c>
      <c r="P28" s="17">
        <f>IF($A28="","",IF(D28="Sim",0,IF(L28&lt;=180,0.225,IF(L28&lt;=360,0.2,IF(L28&lt;=720,0.175,0.15)))))</f>
        <v/>
      </c>
      <c r="Q28" s="16">
        <f>IF($A28="","",O28-IF(AND(D28&lt;&gt;"Sim",L28&lt;30),MAX(0,O28-H28)*INDEX('Comparador líquido'!$B$41:$B$70,MAX(1,L28)),0)-MAX(0,O28-H28-IF(AND(D28&lt;&gt;"Sim",L28&lt;30),MAX(0,O28-H28)*INDEX('Comparador líquido'!$B$41:$B$70,MAX(1,L28)),0))*P28)</f>
        <v/>
      </c>
      <c r="R28" s="16">
        <f>IF($A28="","",H28*(1+N28/100)^(MAX(0,MIN(L28,$C$6-G28))/365)-IF(K28=0,0,K28/100*IF(C28="Selic",MAX(0,1-10000/SUMIFS($H$9:$H$58,$C$9:$C$58,"Selic")),1)*IFERROR(H28*((1+N28/100)^(MAX(0,MIN(L28,$C$6-G28))/365)-1)/LN(1+N28/100),H28*MAX(0,MIN(L28,$C$6-G28))/365)))</f>
        <v/>
      </c>
      <c r="S28" s="18">
        <f>IF($A28="","",IFERROR(IF(INDEX(Objetivos!$C$5:$C$14,MATCH(F28,Objetivos!$A$5:$A$14,0))="","",INDEX(Objetivos!$C$5:$C$14,MATCH(F28,Objetivos!$A$5:$A$14,0))),""))</f>
        <v/>
      </c>
      <c r="T28" s="19">
        <f>IF($A28="","",IF(F28="","sem objetivo: preencha",IF(S28="","sem data: se for reserva, precisa de liquidez diária",IF(I28&gt;S28+31,"vence DEPOIS do objetivo: risco de vender antes",IF(I28&lt;S28-365,"vence mais de 1 ano antes: risco de reinvestir","casado com o objetivo")))))</f>
        <v/>
      </c>
      <c r="U28" s="16">
        <f>IF($A28="","",IF(E28="Sim",SUMIFS($O$9:$O$58,$B$9:$B$58,B28,$E$9:$E$58,"Sim"),""))</f>
        <v/>
      </c>
      <c r="V28" s="19">
        <f>IF($A28="","",IF(E28&lt;&gt;"Sim",IF(B28="Tesouro Nacional","Tesouro: sem FGC (risco do governo)","SEM FGC: risco do emissor"),IF(U28&gt;$C$5,"ACIMA DO FGC","dentro do limite")))</f>
        <v/>
      </c>
      <c r="W28" s="16">
        <f>IF($A28="","",IF(E28="Sim",MAX(0,U28-$C$5),""))</f>
        <v/>
      </c>
      <c r="X28" s="19">
        <f>IF($A28="","",IF(M28&lt;0,"vencido",IF(M28&lt;=90,"vence em até 90 dias","")))</f>
        <v/>
      </c>
      <c r="Y28" s="17">
        <f>IF($A28="","",H28/SUM($H$9:$H$58))</f>
        <v/>
      </c>
      <c r="Z28" s="16">
        <f>IF($A28="","",IF(K28=0,0,K28/100*IF(C28="Selic",MAX(0,1-10000/SUMIFS($H$9:$H$58,$C$9:$C$58,"Selic")),1)*IFERROR(H28*((1+N28/100)^(L28/365)-1)/LN(1+N28/100),H28*L28/365)))</f>
        <v/>
      </c>
    </row>
    <row r="29">
      <c r="A29" s="10" t="n"/>
      <c r="B29" s="10" t="n"/>
      <c r="C29" s="10" t="n"/>
      <c r="D29" s="10" t="n"/>
      <c r="E29" s="10" t="n"/>
      <c r="F29" s="10" t="n"/>
      <c r="G29" s="11" t="n"/>
      <c r="H29" s="12" t="n"/>
      <c r="I29" s="11" t="n"/>
      <c r="J29" s="13" t="n"/>
      <c r="K29" s="13" t="n"/>
      <c r="L29" s="14">
        <f>IF($A29="","",I29-G29)</f>
        <v/>
      </c>
      <c r="M29" s="14">
        <f>IF($A29="","",I29-$C$6)</f>
        <v/>
      </c>
      <c r="N29" s="15">
        <f>IF($A29="","",IF(C29="Pós CDI",((1+((1+$C$3/100)^(1/252)-1)*J29/100)^252-1)*100,IF(C29="Selic",$C$3+J29,IF(C29="Pré",J29,IF(C29="IPCA+",((1+$C$4/100)*(1+J29/100)-1)*100,"")))))</f>
        <v/>
      </c>
      <c r="O29" s="16">
        <f>IF($A29="","",H29*(1+N29/100)^(L29/365)-Z29)</f>
        <v/>
      </c>
      <c r="P29" s="17">
        <f>IF($A29="","",IF(D29="Sim",0,IF(L29&lt;=180,0.225,IF(L29&lt;=360,0.2,IF(L29&lt;=720,0.175,0.15)))))</f>
        <v/>
      </c>
      <c r="Q29" s="16">
        <f>IF($A29="","",O29-IF(AND(D29&lt;&gt;"Sim",L29&lt;30),MAX(0,O29-H29)*INDEX('Comparador líquido'!$B$41:$B$70,MAX(1,L29)),0)-MAX(0,O29-H29-IF(AND(D29&lt;&gt;"Sim",L29&lt;30),MAX(0,O29-H29)*INDEX('Comparador líquido'!$B$41:$B$70,MAX(1,L29)),0))*P29)</f>
        <v/>
      </c>
      <c r="R29" s="16">
        <f>IF($A29="","",H29*(1+N29/100)^(MAX(0,MIN(L29,$C$6-G29))/365)-IF(K29=0,0,K29/100*IF(C29="Selic",MAX(0,1-10000/SUMIFS($H$9:$H$58,$C$9:$C$58,"Selic")),1)*IFERROR(H29*((1+N29/100)^(MAX(0,MIN(L29,$C$6-G29))/365)-1)/LN(1+N29/100),H29*MAX(0,MIN(L29,$C$6-G29))/365)))</f>
        <v/>
      </c>
      <c r="S29" s="18">
        <f>IF($A29="","",IFERROR(IF(INDEX(Objetivos!$C$5:$C$14,MATCH(F29,Objetivos!$A$5:$A$14,0))="","",INDEX(Objetivos!$C$5:$C$14,MATCH(F29,Objetivos!$A$5:$A$14,0))),""))</f>
        <v/>
      </c>
      <c r="T29" s="19">
        <f>IF($A29="","",IF(F29="","sem objetivo: preencha",IF(S29="","sem data: se for reserva, precisa de liquidez diária",IF(I29&gt;S29+31,"vence DEPOIS do objetivo: risco de vender antes",IF(I29&lt;S29-365,"vence mais de 1 ano antes: risco de reinvestir","casado com o objetivo")))))</f>
        <v/>
      </c>
      <c r="U29" s="16">
        <f>IF($A29="","",IF(E29="Sim",SUMIFS($O$9:$O$58,$B$9:$B$58,B29,$E$9:$E$58,"Sim"),""))</f>
        <v/>
      </c>
      <c r="V29" s="19">
        <f>IF($A29="","",IF(E29&lt;&gt;"Sim",IF(B29="Tesouro Nacional","Tesouro: sem FGC (risco do governo)","SEM FGC: risco do emissor"),IF(U29&gt;$C$5,"ACIMA DO FGC","dentro do limite")))</f>
        <v/>
      </c>
      <c r="W29" s="16">
        <f>IF($A29="","",IF(E29="Sim",MAX(0,U29-$C$5),""))</f>
        <v/>
      </c>
      <c r="X29" s="19">
        <f>IF($A29="","",IF(M29&lt;0,"vencido",IF(M29&lt;=90,"vence em até 90 dias","")))</f>
        <v/>
      </c>
      <c r="Y29" s="17">
        <f>IF($A29="","",H29/SUM($H$9:$H$58))</f>
        <v/>
      </c>
      <c r="Z29" s="16">
        <f>IF($A29="","",IF(K29=0,0,K29/100*IF(C29="Selic",MAX(0,1-10000/SUMIFS($H$9:$H$58,$C$9:$C$58,"Selic")),1)*IFERROR(H29*((1+N29/100)^(L29/365)-1)/LN(1+N29/100),H29*L29/365)))</f>
        <v/>
      </c>
    </row>
    <row r="30">
      <c r="A30" s="10" t="n"/>
      <c r="B30" s="10" t="n"/>
      <c r="C30" s="10" t="n"/>
      <c r="D30" s="10" t="n"/>
      <c r="E30" s="10" t="n"/>
      <c r="F30" s="10" t="n"/>
      <c r="G30" s="11" t="n"/>
      <c r="H30" s="12" t="n"/>
      <c r="I30" s="11" t="n"/>
      <c r="J30" s="13" t="n"/>
      <c r="K30" s="13" t="n"/>
      <c r="L30" s="14">
        <f>IF($A30="","",I30-G30)</f>
        <v/>
      </c>
      <c r="M30" s="14">
        <f>IF($A30="","",I30-$C$6)</f>
        <v/>
      </c>
      <c r="N30" s="15">
        <f>IF($A30="","",IF(C30="Pós CDI",((1+((1+$C$3/100)^(1/252)-1)*J30/100)^252-1)*100,IF(C30="Selic",$C$3+J30,IF(C30="Pré",J30,IF(C30="IPCA+",((1+$C$4/100)*(1+J30/100)-1)*100,"")))))</f>
        <v/>
      </c>
      <c r="O30" s="16">
        <f>IF($A30="","",H30*(1+N30/100)^(L30/365)-Z30)</f>
        <v/>
      </c>
      <c r="P30" s="17">
        <f>IF($A30="","",IF(D30="Sim",0,IF(L30&lt;=180,0.225,IF(L30&lt;=360,0.2,IF(L30&lt;=720,0.175,0.15)))))</f>
        <v/>
      </c>
      <c r="Q30" s="16">
        <f>IF($A30="","",O30-IF(AND(D30&lt;&gt;"Sim",L30&lt;30),MAX(0,O30-H30)*INDEX('Comparador líquido'!$B$41:$B$70,MAX(1,L30)),0)-MAX(0,O30-H30-IF(AND(D30&lt;&gt;"Sim",L30&lt;30),MAX(0,O30-H30)*INDEX('Comparador líquido'!$B$41:$B$70,MAX(1,L30)),0))*P30)</f>
        <v/>
      </c>
      <c r="R30" s="16">
        <f>IF($A30="","",H30*(1+N30/100)^(MAX(0,MIN(L30,$C$6-G30))/365)-IF(K30=0,0,K30/100*IF(C30="Selic",MAX(0,1-10000/SUMIFS($H$9:$H$58,$C$9:$C$58,"Selic")),1)*IFERROR(H30*((1+N30/100)^(MAX(0,MIN(L30,$C$6-G30))/365)-1)/LN(1+N30/100),H30*MAX(0,MIN(L30,$C$6-G30))/365)))</f>
        <v/>
      </c>
      <c r="S30" s="18">
        <f>IF($A30="","",IFERROR(IF(INDEX(Objetivos!$C$5:$C$14,MATCH(F30,Objetivos!$A$5:$A$14,0))="","",INDEX(Objetivos!$C$5:$C$14,MATCH(F30,Objetivos!$A$5:$A$14,0))),""))</f>
        <v/>
      </c>
      <c r="T30" s="19">
        <f>IF($A30="","",IF(F30="","sem objetivo: preencha",IF(S30="","sem data: se for reserva, precisa de liquidez diária",IF(I30&gt;S30+31,"vence DEPOIS do objetivo: risco de vender antes",IF(I30&lt;S30-365,"vence mais de 1 ano antes: risco de reinvestir","casado com o objetivo")))))</f>
        <v/>
      </c>
      <c r="U30" s="16">
        <f>IF($A30="","",IF(E30="Sim",SUMIFS($O$9:$O$58,$B$9:$B$58,B30,$E$9:$E$58,"Sim"),""))</f>
        <v/>
      </c>
      <c r="V30" s="19">
        <f>IF($A30="","",IF(E30&lt;&gt;"Sim",IF(B30="Tesouro Nacional","Tesouro: sem FGC (risco do governo)","SEM FGC: risco do emissor"),IF(U30&gt;$C$5,"ACIMA DO FGC","dentro do limite")))</f>
        <v/>
      </c>
      <c r="W30" s="16">
        <f>IF($A30="","",IF(E30="Sim",MAX(0,U30-$C$5),""))</f>
        <v/>
      </c>
      <c r="X30" s="19">
        <f>IF($A30="","",IF(M30&lt;0,"vencido",IF(M30&lt;=90,"vence em até 90 dias","")))</f>
        <v/>
      </c>
      <c r="Y30" s="17">
        <f>IF($A30="","",H30/SUM($H$9:$H$58))</f>
        <v/>
      </c>
      <c r="Z30" s="16">
        <f>IF($A30="","",IF(K30=0,0,K30/100*IF(C30="Selic",MAX(0,1-10000/SUMIFS($H$9:$H$58,$C$9:$C$58,"Selic")),1)*IFERROR(H30*((1+N30/100)^(L30/365)-1)/LN(1+N30/100),H30*L30/365)))</f>
        <v/>
      </c>
    </row>
    <row r="31">
      <c r="A31" s="10" t="n"/>
      <c r="B31" s="10" t="n"/>
      <c r="C31" s="10" t="n"/>
      <c r="D31" s="10" t="n"/>
      <c r="E31" s="10" t="n"/>
      <c r="F31" s="10" t="n"/>
      <c r="G31" s="11" t="n"/>
      <c r="H31" s="12" t="n"/>
      <c r="I31" s="11" t="n"/>
      <c r="J31" s="13" t="n"/>
      <c r="K31" s="13" t="n"/>
      <c r="L31" s="14">
        <f>IF($A31="","",I31-G31)</f>
        <v/>
      </c>
      <c r="M31" s="14">
        <f>IF($A31="","",I31-$C$6)</f>
        <v/>
      </c>
      <c r="N31" s="15">
        <f>IF($A31="","",IF(C31="Pós CDI",((1+((1+$C$3/100)^(1/252)-1)*J31/100)^252-1)*100,IF(C31="Selic",$C$3+J31,IF(C31="Pré",J31,IF(C31="IPCA+",((1+$C$4/100)*(1+J31/100)-1)*100,"")))))</f>
        <v/>
      </c>
      <c r="O31" s="16">
        <f>IF($A31="","",H31*(1+N31/100)^(L31/365)-Z31)</f>
        <v/>
      </c>
      <c r="P31" s="17">
        <f>IF($A31="","",IF(D31="Sim",0,IF(L31&lt;=180,0.225,IF(L31&lt;=360,0.2,IF(L31&lt;=720,0.175,0.15)))))</f>
        <v/>
      </c>
      <c r="Q31" s="16">
        <f>IF($A31="","",O31-IF(AND(D31&lt;&gt;"Sim",L31&lt;30),MAX(0,O31-H31)*INDEX('Comparador líquido'!$B$41:$B$70,MAX(1,L31)),0)-MAX(0,O31-H31-IF(AND(D31&lt;&gt;"Sim",L31&lt;30),MAX(0,O31-H31)*INDEX('Comparador líquido'!$B$41:$B$70,MAX(1,L31)),0))*P31)</f>
        <v/>
      </c>
      <c r="R31" s="16">
        <f>IF($A31="","",H31*(1+N31/100)^(MAX(0,MIN(L31,$C$6-G31))/365)-IF(K31=0,0,K31/100*IF(C31="Selic",MAX(0,1-10000/SUMIFS($H$9:$H$58,$C$9:$C$58,"Selic")),1)*IFERROR(H31*((1+N31/100)^(MAX(0,MIN(L31,$C$6-G31))/365)-1)/LN(1+N31/100),H31*MAX(0,MIN(L31,$C$6-G31))/365)))</f>
        <v/>
      </c>
      <c r="S31" s="18">
        <f>IF($A31="","",IFERROR(IF(INDEX(Objetivos!$C$5:$C$14,MATCH(F31,Objetivos!$A$5:$A$14,0))="","",INDEX(Objetivos!$C$5:$C$14,MATCH(F31,Objetivos!$A$5:$A$14,0))),""))</f>
        <v/>
      </c>
      <c r="T31" s="19">
        <f>IF($A31="","",IF(F31="","sem objetivo: preencha",IF(S31="","sem data: se for reserva, precisa de liquidez diária",IF(I31&gt;S31+31,"vence DEPOIS do objetivo: risco de vender antes",IF(I31&lt;S31-365,"vence mais de 1 ano antes: risco de reinvestir","casado com o objetivo")))))</f>
        <v/>
      </c>
      <c r="U31" s="16">
        <f>IF($A31="","",IF(E31="Sim",SUMIFS($O$9:$O$58,$B$9:$B$58,B31,$E$9:$E$58,"Sim"),""))</f>
        <v/>
      </c>
      <c r="V31" s="19">
        <f>IF($A31="","",IF(E31&lt;&gt;"Sim",IF(B31="Tesouro Nacional","Tesouro: sem FGC (risco do governo)","SEM FGC: risco do emissor"),IF(U31&gt;$C$5,"ACIMA DO FGC","dentro do limite")))</f>
        <v/>
      </c>
      <c r="W31" s="16">
        <f>IF($A31="","",IF(E31="Sim",MAX(0,U31-$C$5),""))</f>
        <v/>
      </c>
      <c r="X31" s="19">
        <f>IF($A31="","",IF(M31&lt;0,"vencido",IF(M31&lt;=90,"vence em até 90 dias","")))</f>
        <v/>
      </c>
      <c r="Y31" s="17">
        <f>IF($A31="","",H31/SUM($H$9:$H$58))</f>
        <v/>
      </c>
      <c r="Z31" s="16">
        <f>IF($A31="","",IF(K31=0,0,K31/100*IF(C31="Selic",MAX(0,1-10000/SUMIFS($H$9:$H$58,$C$9:$C$58,"Selic")),1)*IFERROR(H31*((1+N31/100)^(L31/365)-1)/LN(1+N31/100),H31*L31/365)))</f>
        <v/>
      </c>
    </row>
    <row r="32">
      <c r="A32" s="10" t="n"/>
      <c r="B32" s="10" t="n"/>
      <c r="C32" s="10" t="n"/>
      <c r="D32" s="10" t="n"/>
      <c r="E32" s="10" t="n"/>
      <c r="F32" s="10" t="n"/>
      <c r="G32" s="11" t="n"/>
      <c r="H32" s="12" t="n"/>
      <c r="I32" s="11" t="n"/>
      <c r="J32" s="13" t="n"/>
      <c r="K32" s="13" t="n"/>
      <c r="L32" s="14">
        <f>IF($A32="","",I32-G32)</f>
        <v/>
      </c>
      <c r="M32" s="14">
        <f>IF($A32="","",I32-$C$6)</f>
        <v/>
      </c>
      <c r="N32" s="15">
        <f>IF($A32="","",IF(C32="Pós CDI",((1+((1+$C$3/100)^(1/252)-1)*J32/100)^252-1)*100,IF(C32="Selic",$C$3+J32,IF(C32="Pré",J32,IF(C32="IPCA+",((1+$C$4/100)*(1+J32/100)-1)*100,"")))))</f>
        <v/>
      </c>
      <c r="O32" s="16">
        <f>IF($A32="","",H32*(1+N32/100)^(L32/365)-Z32)</f>
        <v/>
      </c>
      <c r="P32" s="17">
        <f>IF($A32="","",IF(D32="Sim",0,IF(L32&lt;=180,0.225,IF(L32&lt;=360,0.2,IF(L32&lt;=720,0.175,0.15)))))</f>
        <v/>
      </c>
      <c r="Q32" s="16">
        <f>IF($A32="","",O32-IF(AND(D32&lt;&gt;"Sim",L32&lt;30),MAX(0,O32-H32)*INDEX('Comparador líquido'!$B$41:$B$70,MAX(1,L32)),0)-MAX(0,O32-H32-IF(AND(D32&lt;&gt;"Sim",L32&lt;30),MAX(0,O32-H32)*INDEX('Comparador líquido'!$B$41:$B$70,MAX(1,L32)),0))*P32)</f>
        <v/>
      </c>
      <c r="R32" s="16">
        <f>IF($A32="","",H32*(1+N32/100)^(MAX(0,MIN(L32,$C$6-G32))/365)-IF(K32=0,0,K32/100*IF(C32="Selic",MAX(0,1-10000/SUMIFS($H$9:$H$58,$C$9:$C$58,"Selic")),1)*IFERROR(H32*((1+N32/100)^(MAX(0,MIN(L32,$C$6-G32))/365)-1)/LN(1+N32/100),H32*MAX(0,MIN(L32,$C$6-G32))/365)))</f>
        <v/>
      </c>
      <c r="S32" s="18">
        <f>IF($A32="","",IFERROR(IF(INDEX(Objetivos!$C$5:$C$14,MATCH(F32,Objetivos!$A$5:$A$14,0))="","",INDEX(Objetivos!$C$5:$C$14,MATCH(F32,Objetivos!$A$5:$A$14,0))),""))</f>
        <v/>
      </c>
      <c r="T32" s="19">
        <f>IF($A32="","",IF(F32="","sem objetivo: preencha",IF(S32="","sem data: se for reserva, precisa de liquidez diária",IF(I32&gt;S32+31,"vence DEPOIS do objetivo: risco de vender antes",IF(I32&lt;S32-365,"vence mais de 1 ano antes: risco de reinvestir","casado com o objetivo")))))</f>
        <v/>
      </c>
      <c r="U32" s="16">
        <f>IF($A32="","",IF(E32="Sim",SUMIFS($O$9:$O$58,$B$9:$B$58,B32,$E$9:$E$58,"Sim"),""))</f>
        <v/>
      </c>
      <c r="V32" s="19">
        <f>IF($A32="","",IF(E32&lt;&gt;"Sim",IF(B32="Tesouro Nacional","Tesouro: sem FGC (risco do governo)","SEM FGC: risco do emissor"),IF(U32&gt;$C$5,"ACIMA DO FGC","dentro do limite")))</f>
        <v/>
      </c>
      <c r="W32" s="16">
        <f>IF($A32="","",IF(E32="Sim",MAX(0,U32-$C$5),""))</f>
        <v/>
      </c>
      <c r="X32" s="19">
        <f>IF($A32="","",IF(M32&lt;0,"vencido",IF(M32&lt;=90,"vence em até 90 dias","")))</f>
        <v/>
      </c>
      <c r="Y32" s="17">
        <f>IF($A32="","",H32/SUM($H$9:$H$58))</f>
        <v/>
      </c>
      <c r="Z32" s="16">
        <f>IF($A32="","",IF(K32=0,0,K32/100*IF(C32="Selic",MAX(0,1-10000/SUMIFS($H$9:$H$58,$C$9:$C$58,"Selic")),1)*IFERROR(H32*((1+N32/100)^(L32/365)-1)/LN(1+N32/100),H32*L32/365)))</f>
        <v/>
      </c>
    </row>
    <row r="33">
      <c r="A33" s="10" t="n"/>
      <c r="B33" s="10" t="n"/>
      <c r="C33" s="10" t="n"/>
      <c r="D33" s="10" t="n"/>
      <c r="E33" s="10" t="n"/>
      <c r="F33" s="10" t="n"/>
      <c r="G33" s="11" t="n"/>
      <c r="H33" s="12" t="n"/>
      <c r="I33" s="11" t="n"/>
      <c r="J33" s="13" t="n"/>
      <c r="K33" s="13" t="n"/>
      <c r="L33" s="14">
        <f>IF($A33="","",I33-G33)</f>
        <v/>
      </c>
      <c r="M33" s="14">
        <f>IF($A33="","",I33-$C$6)</f>
        <v/>
      </c>
      <c r="N33" s="15">
        <f>IF($A33="","",IF(C33="Pós CDI",((1+((1+$C$3/100)^(1/252)-1)*J33/100)^252-1)*100,IF(C33="Selic",$C$3+J33,IF(C33="Pré",J33,IF(C33="IPCA+",((1+$C$4/100)*(1+J33/100)-1)*100,"")))))</f>
        <v/>
      </c>
      <c r="O33" s="16">
        <f>IF($A33="","",H33*(1+N33/100)^(L33/365)-Z33)</f>
        <v/>
      </c>
      <c r="P33" s="17">
        <f>IF($A33="","",IF(D33="Sim",0,IF(L33&lt;=180,0.225,IF(L33&lt;=360,0.2,IF(L33&lt;=720,0.175,0.15)))))</f>
        <v/>
      </c>
      <c r="Q33" s="16">
        <f>IF($A33="","",O33-IF(AND(D33&lt;&gt;"Sim",L33&lt;30),MAX(0,O33-H33)*INDEX('Comparador líquido'!$B$41:$B$70,MAX(1,L33)),0)-MAX(0,O33-H33-IF(AND(D33&lt;&gt;"Sim",L33&lt;30),MAX(0,O33-H33)*INDEX('Comparador líquido'!$B$41:$B$70,MAX(1,L33)),0))*P33)</f>
        <v/>
      </c>
      <c r="R33" s="16">
        <f>IF($A33="","",H33*(1+N33/100)^(MAX(0,MIN(L33,$C$6-G33))/365)-IF(K33=0,0,K33/100*IF(C33="Selic",MAX(0,1-10000/SUMIFS($H$9:$H$58,$C$9:$C$58,"Selic")),1)*IFERROR(H33*((1+N33/100)^(MAX(0,MIN(L33,$C$6-G33))/365)-1)/LN(1+N33/100),H33*MAX(0,MIN(L33,$C$6-G33))/365)))</f>
        <v/>
      </c>
      <c r="S33" s="18">
        <f>IF($A33="","",IFERROR(IF(INDEX(Objetivos!$C$5:$C$14,MATCH(F33,Objetivos!$A$5:$A$14,0))="","",INDEX(Objetivos!$C$5:$C$14,MATCH(F33,Objetivos!$A$5:$A$14,0))),""))</f>
        <v/>
      </c>
      <c r="T33" s="19">
        <f>IF($A33="","",IF(F33="","sem objetivo: preencha",IF(S33="","sem data: se for reserva, precisa de liquidez diária",IF(I33&gt;S33+31,"vence DEPOIS do objetivo: risco de vender antes",IF(I33&lt;S33-365,"vence mais de 1 ano antes: risco de reinvestir","casado com o objetivo")))))</f>
        <v/>
      </c>
      <c r="U33" s="16">
        <f>IF($A33="","",IF(E33="Sim",SUMIFS($O$9:$O$58,$B$9:$B$58,B33,$E$9:$E$58,"Sim"),""))</f>
        <v/>
      </c>
      <c r="V33" s="19">
        <f>IF($A33="","",IF(E33&lt;&gt;"Sim",IF(B33="Tesouro Nacional","Tesouro: sem FGC (risco do governo)","SEM FGC: risco do emissor"),IF(U33&gt;$C$5,"ACIMA DO FGC","dentro do limite")))</f>
        <v/>
      </c>
      <c r="W33" s="16">
        <f>IF($A33="","",IF(E33="Sim",MAX(0,U33-$C$5),""))</f>
        <v/>
      </c>
      <c r="X33" s="19">
        <f>IF($A33="","",IF(M33&lt;0,"vencido",IF(M33&lt;=90,"vence em até 90 dias","")))</f>
        <v/>
      </c>
      <c r="Y33" s="17">
        <f>IF($A33="","",H33/SUM($H$9:$H$58))</f>
        <v/>
      </c>
      <c r="Z33" s="16">
        <f>IF($A33="","",IF(K33=0,0,K33/100*IF(C33="Selic",MAX(0,1-10000/SUMIFS($H$9:$H$58,$C$9:$C$58,"Selic")),1)*IFERROR(H33*((1+N33/100)^(L33/365)-1)/LN(1+N33/100),H33*L33/365)))</f>
        <v/>
      </c>
    </row>
    <row r="34">
      <c r="A34" s="10" t="n"/>
      <c r="B34" s="10" t="n"/>
      <c r="C34" s="10" t="n"/>
      <c r="D34" s="10" t="n"/>
      <c r="E34" s="10" t="n"/>
      <c r="F34" s="10" t="n"/>
      <c r="G34" s="11" t="n"/>
      <c r="H34" s="12" t="n"/>
      <c r="I34" s="11" t="n"/>
      <c r="J34" s="13" t="n"/>
      <c r="K34" s="13" t="n"/>
      <c r="L34" s="14">
        <f>IF($A34="","",I34-G34)</f>
        <v/>
      </c>
      <c r="M34" s="14">
        <f>IF($A34="","",I34-$C$6)</f>
        <v/>
      </c>
      <c r="N34" s="15">
        <f>IF($A34="","",IF(C34="Pós CDI",((1+((1+$C$3/100)^(1/252)-1)*J34/100)^252-1)*100,IF(C34="Selic",$C$3+J34,IF(C34="Pré",J34,IF(C34="IPCA+",((1+$C$4/100)*(1+J34/100)-1)*100,"")))))</f>
        <v/>
      </c>
      <c r="O34" s="16">
        <f>IF($A34="","",H34*(1+N34/100)^(L34/365)-Z34)</f>
        <v/>
      </c>
      <c r="P34" s="17">
        <f>IF($A34="","",IF(D34="Sim",0,IF(L34&lt;=180,0.225,IF(L34&lt;=360,0.2,IF(L34&lt;=720,0.175,0.15)))))</f>
        <v/>
      </c>
      <c r="Q34" s="16">
        <f>IF($A34="","",O34-IF(AND(D34&lt;&gt;"Sim",L34&lt;30),MAX(0,O34-H34)*INDEX('Comparador líquido'!$B$41:$B$70,MAX(1,L34)),0)-MAX(0,O34-H34-IF(AND(D34&lt;&gt;"Sim",L34&lt;30),MAX(0,O34-H34)*INDEX('Comparador líquido'!$B$41:$B$70,MAX(1,L34)),0))*P34)</f>
        <v/>
      </c>
      <c r="R34" s="16">
        <f>IF($A34="","",H34*(1+N34/100)^(MAX(0,MIN(L34,$C$6-G34))/365)-IF(K34=0,0,K34/100*IF(C34="Selic",MAX(0,1-10000/SUMIFS($H$9:$H$58,$C$9:$C$58,"Selic")),1)*IFERROR(H34*((1+N34/100)^(MAX(0,MIN(L34,$C$6-G34))/365)-1)/LN(1+N34/100),H34*MAX(0,MIN(L34,$C$6-G34))/365)))</f>
        <v/>
      </c>
      <c r="S34" s="18">
        <f>IF($A34="","",IFERROR(IF(INDEX(Objetivos!$C$5:$C$14,MATCH(F34,Objetivos!$A$5:$A$14,0))="","",INDEX(Objetivos!$C$5:$C$14,MATCH(F34,Objetivos!$A$5:$A$14,0))),""))</f>
        <v/>
      </c>
      <c r="T34" s="19">
        <f>IF($A34="","",IF(F34="","sem objetivo: preencha",IF(S34="","sem data: se for reserva, precisa de liquidez diária",IF(I34&gt;S34+31,"vence DEPOIS do objetivo: risco de vender antes",IF(I34&lt;S34-365,"vence mais de 1 ano antes: risco de reinvestir","casado com o objetivo")))))</f>
        <v/>
      </c>
      <c r="U34" s="16">
        <f>IF($A34="","",IF(E34="Sim",SUMIFS($O$9:$O$58,$B$9:$B$58,B34,$E$9:$E$58,"Sim"),""))</f>
        <v/>
      </c>
      <c r="V34" s="19">
        <f>IF($A34="","",IF(E34&lt;&gt;"Sim",IF(B34="Tesouro Nacional","Tesouro: sem FGC (risco do governo)","SEM FGC: risco do emissor"),IF(U34&gt;$C$5,"ACIMA DO FGC","dentro do limite")))</f>
        <v/>
      </c>
      <c r="W34" s="16">
        <f>IF($A34="","",IF(E34="Sim",MAX(0,U34-$C$5),""))</f>
        <v/>
      </c>
      <c r="X34" s="19">
        <f>IF($A34="","",IF(M34&lt;0,"vencido",IF(M34&lt;=90,"vence em até 90 dias","")))</f>
        <v/>
      </c>
      <c r="Y34" s="17">
        <f>IF($A34="","",H34/SUM($H$9:$H$58))</f>
        <v/>
      </c>
      <c r="Z34" s="16">
        <f>IF($A34="","",IF(K34=0,0,K34/100*IF(C34="Selic",MAX(0,1-10000/SUMIFS($H$9:$H$58,$C$9:$C$58,"Selic")),1)*IFERROR(H34*((1+N34/100)^(L34/365)-1)/LN(1+N34/100),H34*L34/365)))</f>
        <v/>
      </c>
    </row>
    <row r="35">
      <c r="A35" s="10" t="n"/>
      <c r="B35" s="10" t="n"/>
      <c r="C35" s="10" t="n"/>
      <c r="D35" s="10" t="n"/>
      <c r="E35" s="10" t="n"/>
      <c r="F35" s="10" t="n"/>
      <c r="G35" s="11" t="n"/>
      <c r="H35" s="12" t="n"/>
      <c r="I35" s="11" t="n"/>
      <c r="J35" s="13" t="n"/>
      <c r="K35" s="13" t="n"/>
      <c r="L35" s="14">
        <f>IF($A35="","",I35-G35)</f>
        <v/>
      </c>
      <c r="M35" s="14">
        <f>IF($A35="","",I35-$C$6)</f>
        <v/>
      </c>
      <c r="N35" s="15">
        <f>IF($A35="","",IF(C35="Pós CDI",((1+((1+$C$3/100)^(1/252)-1)*J35/100)^252-1)*100,IF(C35="Selic",$C$3+J35,IF(C35="Pré",J35,IF(C35="IPCA+",((1+$C$4/100)*(1+J35/100)-1)*100,"")))))</f>
        <v/>
      </c>
      <c r="O35" s="16">
        <f>IF($A35="","",H35*(1+N35/100)^(L35/365)-Z35)</f>
        <v/>
      </c>
      <c r="P35" s="17">
        <f>IF($A35="","",IF(D35="Sim",0,IF(L35&lt;=180,0.225,IF(L35&lt;=360,0.2,IF(L35&lt;=720,0.175,0.15)))))</f>
        <v/>
      </c>
      <c r="Q35" s="16">
        <f>IF($A35="","",O35-IF(AND(D35&lt;&gt;"Sim",L35&lt;30),MAX(0,O35-H35)*INDEX('Comparador líquido'!$B$41:$B$70,MAX(1,L35)),0)-MAX(0,O35-H35-IF(AND(D35&lt;&gt;"Sim",L35&lt;30),MAX(0,O35-H35)*INDEX('Comparador líquido'!$B$41:$B$70,MAX(1,L35)),0))*P35)</f>
        <v/>
      </c>
      <c r="R35" s="16">
        <f>IF($A35="","",H35*(1+N35/100)^(MAX(0,MIN(L35,$C$6-G35))/365)-IF(K35=0,0,K35/100*IF(C35="Selic",MAX(0,1-10000/SUMIFS($H$9:$H$58,$C$9:$C$58,"Selic")),1)*IFERROR(H35*((1+N35/100)^(MAX(0,MIN(L35,$C$6-G35))/365)-1)/LN(1+N35/100),H35*MAX(0,MIN(L35,$C$6-G35))/365)))</f>
        <v/>
      </c>
      <c r="S35" s="18">
        <f>IF($A35="","",IFERROR(IF(INDEX(Objetivos!$C$5:$C$14,MATCH(F35,Objetivos!$A$5:$A$14,0))="","",INDEX(Objetivos!$C$5:$C$14,MATCH(F35,Objetivos!$A$5:$A$14,0))),""))</f>
        <v/>
      </c>
      <c r="T35" s="19">
        <f>IF($A35="","",IF(F35="","sem objetivo: preencha",IF(S35="","sem data: se for reserva, precisa de liquidez diária",IF(I35&gt;S35+31,"vence DEPOIS do objetivo: risco de vender antes",IF(I35&lt;S35-365,"vence mais de 1 ano antes: risco de reinvestir","casado com o objetivo")))))</f>
        <v/>
      </c>
      <c r="U35" s="16">
        <f>IF($A35="","",IF(E35="Sim",SUMIFS($O$9:$O$58,$B$9:$B$58,B35,$E$9:$E$58,"Sim"),""))</f>
        <v/>
      </c>
      <c r="V35" s="19">
        <f>IF($A35="","",IF(E35&lt;&gt;"Sim",IF(B35="Tesouro Nacional","Tesouro: sem FGC (risco do governo)","SEM FGC: risco do emissor"),IF(U35&gt;$C$5,"ACIMA DO FGC","dentro do limite")))</f>
        <v/>
      </c>
      <c r="W35" s="16">
        <f>IF($A35="","",IF(E35="Sim",MAX(0,U35-$C$5),""))</f>
        <v/>
      </c>
      <c r="X35" s="19">
        <f>IF($A35="","",IF(M35&lt;0,"vencido",IF(M35&lt;=90,"vence em até 90 dias","")))</f>
        <v/>
      </c>
      <c r="Y35" s="17">
        <f>IF($A35="","",H35/SUM($H$9:$H$58))</f>
        <v/>
      </c>
      <c r="Z35" s="16">
        <f>IF($A35="","",IF(K35=0,0,K35/100*IF(C35="Selic",MAX(0,1-10000/SUMIFS($H$9:$H$58,$C$9:$C$58,"Selic")),1)*IFERROR(H35*((1+N35/100)^(L35/365)-1)/LN(1+N35/100),H35*L35/365)))</f>
        <v/>
      </c>
    </row>
    <row r="36">
      <c r="A36" s="10" t="n"/>
      <c r="B36" s="10" t="n"/>
      <c r="C36" s="10" t="n"/>
      <c r="D36" s="10" t="n"/>
      <c r="E36" s="10" t="n"/>
      <c r="F36" s="10" t="n"/>
      <c r="G36" s="11" t="n"/>
      <c r="H36" s="12" t="n"/>
      <c r="I36" s="11" t="n"/>
      <c r="J36" s="13" t="n"/>
      <c r="K36" s="13" t="n"/>
      <c r="L36" s="14">
        <f>IF($A36="","",I36-G36)</f>
        <v/>
      </c>
      <c r="M36" s="14">
        <f>IF($A36="","",I36-$C$6)</f>
        <v/>
      </c>
      <c r="N36" s="15">
        <f>IF($A36="","",IF(C36="Pós CDI",((1+((1+$C$3/100)^(1/252)-1)*J36/100)^252-1)*100,IF(C36="Selic",$C$3+J36,IF(C36="Pré",J36,IF(C36="IPCA+",((1+$C$4/100)*(1+J36/100)-1)*100,"")))))</f>
        <v/>
      </c>
      <c r="O36" s="16">
        <f>IF($A36="","",H36*(1+N36/100)^(L36/365)-Z36)</f>
        <v/>
      </c>
      <c r="P36" s="17">
        <f>IF($A36="","",IF(D36="Sim",0,IF(L36&lt;=180,0.225,IF(L36&lt;=360,0.2,IF(L36&lt;=720,0.175,0.15)))))</f>
        <v/>
      </c>
      <c r="Q36" s="16">
        <f>IF($A36="","",O36-IF(AND(D36&lt;&gt;"Sim",L36&lt;30),MAX(0,O36-H36)*INDEX('Comparador líquido'!$B$41:$B$70,MAX(1,L36)),0)-MAX(0,O36-H36-IF(AND(D36&lt;&gt;"Sim",L36&lt;30),MAX(0,O36-H36)*INDEX('Comparador líquido'!$B$41:$B$70,MAX(1,L36)),0))*P36)</f>
        <v/>
      </c>
      <c r="R36" s="16">
        <f>IF($A36="","",H36*(1+N36/100)^(MAX(0,MIN(L36,$C$6-G36))/365)-IF(K36=0,0,K36/100*IF(C36="Selic",MAX(0,1-10000/SUMIFS($H$9:$H$58,$C$9:$C$58,"Selic")),1)*IFERROR(H36*((1+N36/100)^(MAX(0,MIN(L36,$C$6-G36))/365)-1)/LN(1+N36/100),H36*MAX(0,MIN(L36,$C$6-G36))/365)))</f>
        <v/>
      </c>
      <c r="S36" s="18">
        <f>IF($A36="","",IFERROR(IF(INDEX(Objetivos!$C$5:$C$14,MATCH(F36,Objetivos!$A$5:$A$14,0))="","",INDEX(Objetivos!$C$5:$C$14,MATCH(F36,Objetivos!$A$5:$A$14,0))),""))</f>
        <v/>
      </c>
      <c r="T36" s="19">
        <f>IF($A36="","",IF(F36="","sem objetivo: preencha",IF(S36="","sem data: se for reserva, precisa de liquidez diária",IF(I36&gt;S36+31,"vence DEPOIS do objetivo: risco de vender antes",IF(I36&lt;S36-365,"vence mais de 1 ano antes: risco de reinvestir","casado com o objetivo")))))</f>
        <v/>
      </c>
      <c r="U36" s="16">
        <f>IF($A36="","",IF(E36="Sim",SUMIFS($O$9:$O$58,$B$9:$B$58,B36,$E$9:$E$58,"Sim"),""))</f>
        <v/>
      </c>
      <c r="V36" s="19">
        <f>IF($A36="","",IF(E36&lt;&gt;"Sim",IF(B36="Tesouro Nacional","Tesouro: sem FGC (risco do governo)","SEM FGC: risco do emissor"),IF(U36&gt;$C$5,"ACIMA DO FGC","dentro do limite")))</f>
        <v/>
      </c>
      <c r="W36" s="16">
        <f>IF($A36="","",IF(E36="Sim",MAX(0,U36-$C$5),""))</f>
        <v/>
      </c>
      <c r="X36" s="19">
        <f>IF($A36="","",IF(M36&lt;0,"vencido",IF(M36&lt;=90,"vence em até 90 dias","")))</f>
        <v/>
      </c>
      <c r="Y36" s="17">
        <f>IF($A36="","",H36/SUM($H$9:$H$58))</f>
        <v/>
      </c>
      <c r="Z36" s="16">
        <f>IF($A36="","",IF(K36=0,0,K36/100*IF(C36="Selic",MAX(0,1-10000/SUMIFS($H$9:$H$58,$C$9:$C$58,"Selic")),1)*IFERROR(H36*((1+N36/100)^(L36/365)-1)/LN(1+N36/100),H36*L36/365)))</f>
        <v/>
      </c>
    </row>
    <row r="37">
      <c r="A37" s="10" t="n"/>
      <c r="B37" s="10" t="n"/>
      <c r="C37" s="10" t="n"/>
      <c r="D37" s="10" t="n"/>
      <c r="E37" s="10" t="n"/>
      <c r="F37" s="10" t="n"/>
      <c r="G37" s="11" t="n"/>
      <c r="H37" s="12" t="n"/>
      <c r="I37" s="11" t="n"/>
      <c r="J37" s="13" t="n"/>
      <c r="K37" s="13" t="n"/>
      <c r="L37" s="14">
        <f>IF($A37="","",I37-G37)</f>
        <v/>
      </c>
      <c r="M37" s="14">
        <f>IF($A37="","",I37-$C$6)</f>
        <v/>
      </c>
      <c r="N37" s="15">
        <f>IF($A37="","",IF(C37="Pós CDI",((1+((1+$C$3/100)^(1/252)-1)*J37/100)^252-1)*100,IF(C37="Selic",$C$3+J37,IF(C37="Pré",J37,IF(C37="IPCA+",((1+$C$4/100)*(1+J37/100)-1)*100,"")))))</f>
        <v/>
      </c>
      <c r="O37" s="16">
        <f>IF($A37="","",H37*(1+N37/100)^(L37/365)-Z37)</f>
        <v/>
      </c>
      <c r="P37" s="17">
        <f>IF($A37="","",IF(D37="Sim",0,IF(L37&lt;=180,0.225,IF(L37&lt;=360,0.2,IF(L37&lt;=720,0.175,0.15)))))</f>
        <v/>
      </c>
      <c r="Q37" s="16">
        <f>IF($A37="","",O37-IF(AND(D37&lt;&gt;"Sim",L37&lt;30),MAX(0,O37-H37)*INDEX('Comparador líquido'!$B$41:$B$70,MAX(1,L37)),0)-MAX(0,O37-H37-IF(AND(D37&lt;&gt;"Sim",L37&lt;30),MAX(0,O37-H37)*INDEX('Comparador líquido'!$B$41:$B$70,MAX(1,L37)),0))*P37)</f>
        <v/>
      </c>
      <c r="R37" s="16">
        <f>IF($A37="","",H37*(1+N37/100)^(MAX(0,MIN(L37,$C$6-G37))/365)-IF(K37=0,0,K37/100*IF(C37="Selic",MAX(0,1-10000/SUMIFS($H$9:$H$58,$C$9:$C$58,"Selic")),1)*IFERROR(H37*((1+N37/100)^(MAX(0,MIN(L37,$C$6-G37))/365)-1)/LN(1+N37/100),H37*MAX(0,MIN(L37,$C$6-G37))/365)))</f>
        <v/>
      </c>
      <c r="S37" s="18">
        <f>IF($A37="","",IFERROR(IF(INDEX(Objetivos!$C$5:$C$14,MATCH(F37,Objetivos!$A$5:$A$14,0))="","",INDEX(Objetivos!$C$5:$C$14,MATCH(F37,Objetivos!$A$5:$A$14,0))),""))</f>
        <v/>
      </c>
      <c r="T37" s="19">
        <f>IF($A37="","",IF(F37="","sem objetivo: preencha",IF(S37="","sem data: se for reserva, precisa de liquidez diária",IF(I37&gt;S37+31,"vence DEPOIS do objetivo: risco de vender antes",IF(I37&lt;S37-365,"vence mais de 1 ano antes: risco de reinvestir","casado com o objetivo")))))</f>
        <v/>
      </c>
      <c r="U37" s="16">
        <f>IF($A37="","",IF(E37="Sim",SUMIFS($O$9:$O$58,$B$9:$B$58,B37,$E$9:$E$58,"Sim"),""))</f>
        <v/>
      </c>
      <c r="V37" s="19">
        <f>IF($A37="","",IF(E37&lt;&gt;"Sim",IF(B37="Tesouro Nacional","Tesouro: sem FGC (risco do governo)","SEM FGC: risco do emissor"),IF(U37&gt;$C$5,"ACIMA DO FGC","dentro do limite")))</f>
        <v/>
      </c>
      <c r="W37" s="16">
        <f>IF($A37="","",IF(E37="Sim",MAX(0,U37-$C$5),""))</f>
        <v/>
      </c>
      <c r="X37" s="19">
        <f>IF($A37="","",IF(M37&lt;0,"vencido",IF(M37&lt;=90,"vence em até 90 dias","")))</f>
        <v/>
      </c>
      <c r="Y37" s="17">
        <f>IF($A37="","",H37/SUM($H$9:$H$58))</f>
        <v/>
      </c>
      <c r="Z37" s="16">
        <f>IF($A37="","",IF(K37=0,0,K37/100*IF(C37="Selic",MAX(0,1-10000/SUMIFS($H$9:$H$58,$C$9:$C$58,"Selic")),1)*IFERROR(H37*((1+N37/100)^(L37/365)-1)/LN(1+N37/100),H37*L37/365)))</f>
        <v/>
      </c>
    </row>
    <row r="38">
      <c r="A38" s="10" t="n"/>
      <c r="B38" s="10" t="n"/>
      <c r="C38" s="10" t="n"/>
      <c r="D38" s="10" t="n"/>
      <c r="E38" s="10" t="n"/>
      <c r="F38" s="10" t="n"/>
      <c r="G38" s="11" t="n"/>
      <c r="H38" s="12" t="n"/>
      <c r="I38" s="11" t="n"/>
      <c r="J38" s="13" t="n"/>
      <c r="K38" s="13" t="n"/>
      <c r="L38" s="14">
        <f>IF($A38="","",I38-G38)</f>
        <v/>
      </c>
      <c r="M38" s="14">
        <f>IF($A38="","",I38-$C$6)</f>
        <v/>
      </c>
      <c r="N38" s="15">
        <f>IF($A38="","",IF(C38="Pós CDI",((1+((1+$C$3/100)^(1/252)-1)*J38/100)^252-1)*100,IF(C38="Selic",$C$3+J38,IF(C38="Pré",J38,IF(C38="IPCA+",((1+$C$4/100)*(1+J38/100)-1)*100,"")))))</f>
        <v/>
      </c>
      <c r="O38" s="16">
        <f>IF($A38="","",H38*(1+N38/100)^(L38/365)-Z38)</f>
        <v/>
      </c>
      <c r="P38" s="17">
        <f>IF($A38="","",IF(D38="Sim",0,IF(L38&lt;=180,0.225,IF(L38&lt;=360,0.2,IF(L38&lt;=720,0.175,0.15)))))</f>
        <v/>
      </c>
      <c r="Q38" s="16">
        <f>IF($A38="","",O38-IF(AND(D38&lt;&gt;"Sim",L38&lt;30),MAX(0,O38-H38)*INDEX('Comparador líquido'!$B$41:$B$70,MAX(1,L38)),0)-MAX(0,O38-H38-IF(AND(D38&lt;&gt;"Sim",L38&lt;30),MAX(0,O38-H38)*INDEX('Comparador líquido'!$B$41:$B$70,MAX(1,L38)),0))*P38)</f>
        <v/>
      </c>
      <c r="R38" s="16">
        <f>IF($A38="","",H38*(1+N38/100)^(MAX(0,MIN(L38,$C$6-G38))/365)-IF(K38=0,0,K38/100*IF(C38="Selic",MAX(0,1-10000/SUMIFS($H$9:$H$58,$C$9:$C$58,"Selic")),1)*IFERROR(H38*((1+N38/100)^(MAX(0,MIN(L38,$C$6-G38))/365)-1)/LN(1+N38/100),H38*MAX(0,MIN(L38,$C$6-G38))/365)))</f>
        <v/>
      </c>
      <c r="S38" s="18">
        <f>IF($A38="","",IFERROR(IF(INDEX(Objetivos!$C$5:$C$14,MATCH(F38,Objetivos!$A$5:$A$14,0))="","",INDEX(Objetivos!$C$5:$C$14,MATCH(F38,Objetivos!$A$5:$A$14,0))),""))</f>
        <v/>
      </c>
      <c r="T38" s="19">
        <f>IF($A38="","",IF(F38="","sem objetivo: preencha",IF(S38="","sem data: se for reserva, precisa de liquidez diária",IF(I38&gt;S38+31,"vence DEPOIS do objetivo: risco de vender antes",IF(I38&lt;S38-365,"vence mais de 1 ano antes: risco de reinvestir","casado com o objetivo")))))</f>
        <v/>
      </c>
      <c r="U38" s="16">
        <f>IF($A38="","",IF(E38="Sim",SUMIFS($O$9:$O$58,$B$9:$B$58,B38,$E$9:$E$58,"Sim"),""))</f>
        <v/>
      </c>
      <c r="V38" s="19">
        <f>IF($A38="","",IF(E38&lt;&gt;"Sim",IF(B38="Tesouro Nacional","Tesouro: sem FGC (risco do governo)","SEM FGC: risco do emissor"),IF(U38&gt;$C$5,"ACIMA DO FGC","dentro do limite")))</f>
        <v/>
      </c>
      <c r="W38" s="16">
        <f>IF($A38="","",IF(E38="Sim",MAX(0,U38-$C$5),""))</f>
        <v/>
      </c>
      <c r="X38" s="19">
        <f>IF($A38="","",IF(M38&lt;0,"vencido",IF(M38&lt;=90,"vence em até 90 dias","")))</f>
        <v/>
      </c>
      <c r="Y38" s="17">
        <f>IF($A38="","",H38/SUM($H$9:$H$58))</f>
        <v/>
      </c>
      <c r="Z38" s="16">
        <f>IF($A38="","",IF(K38=0,0,K38/100*IF(C38="Selic",MAX(0,1-10000/SUMIFS($H$9:$H$58,$C$9:$C$58,"Selic")),1)*IFERROR(H38*((1+N38/100)^(L38/365)-1)/LN(1+N38/100),H38*L38/365)))</f>
        <v/>
      </c>
    </row>
    <row r="39">
      <c r="A39" s="10" t="n"/>
      <c r="B39" s="10" t="n"/>
      <c r="C39" s="10" t="n"/>
      <c r="D39" s="10" t="n"/>
      <c r="E39" s="10" t="n"/>
      <c r="F39" s="10" t="n"/>
      <c r="G39" s="11" t="n"/>
      <c r="H39" s="12" t="n"/>
      <c r="I39" s="11" t="n"/>
      <c r="J39" s="13" t="n"/>
      <c r="K39" s="13" t="n"/>
      <c r="L39" s="14">
        <f>IF($A39="","",I39-G39)</f>
        <v/>
      </c>
      <c r="M39" s="14">
        <f>IF($A39="","",I39-$C$6)</f>
        <v/>
      </c>
      <c r="N39" s="15">
        <f>IF($A39="","",IF(C39="Pós CDI",((1+((1+$C$3/100)^(1/252)-1)*J39/100)^252-1)*100,IF(C39="Selic",$C$3+J39,IF(C39="Pré",J39,IF(C39="IPCA+",((1+$C$4/100)*(1+J39/100)-1)*100,"")))))</f>
        <v/>
      </c>
      <c r="O39" s="16">
        <f>IF($A39="","",H39*(1+N39/100)^(L39/365)-Z39)</f>
        <v/>
      </c>
      <c r="P39" s="17">
        <f>IF($A39="","",IF(D39="Sim",0,IF(L39&lt;=180,0.225,IF(L39&lt;=360,0.2,IF(L39&lt;=720,0.175,0.15)))))</f>
        <v/>
      </c>
      <c r="Q39" s="16">
        <f>IF($A39="","",O39-IF(AND(D39&lt;&gt;"Sim",L39&lt;30),MAX(0,O39-H39)*INDEX('Comparador líquido'!$B$41:$B$70,MAX(1,L39)),0)-MAX(0,O39-H39-IF(AND(D39&lt;&gt;"Sim",L39&lt;30),MAX(0,O39-H39)*INDEX('Comparador líquido'!$B$41:$B$70,MAX(1,L39)),0))*P39)</f>
        <v/>
      </c>
      <c r="R39" s="16">
        <f>IF($A39="","",H39*(1+N39/100)^(MAX(0,MIN(L39,$C$6-G39))/365)-IF(K39=0,0,K39/100*IF(C39="Selic",MAX(0,1-10000/SUMIFS($H$9:$H$58,$C$9:$C$58,"Selic")),1)*IFERROR(H39*((1+N39/100)^(MAX(0,MIN(L39,$C$6-G39))/365)-1)/LN(1+N39/100),H39*MAX(0,MIN(L39,$C$6-G39))/365)))</f>
        <v/>
      </c>
      <c r="S39" s="18">
        <f>IF($A39="","",IFERROR(IF(INDEX(Objetivos!$C$5:$C$14,MATCH(F39,Objetivos!$A$5:$A$14,0))="","",INDEX(Objetivos!$C$5:$C$14,MATCH(F39,Objetivos!$A$5:$A$14,0))),""))</f>
        <v/>
      </c>
      <c r="T39" s="19">
        <f>IF($A39="","",IF(F39="","sem objetivo: preencha",IF(S39="","sem data: se for reserva, precisa de liquidez diária",IF(I39&gt;S39+31,"vence DEPOIS do objetivo: risco de vender antes",IF(I39&lt;S39-365,"vence mais de 1 ano antes: risco de reinvestir","casado com o objetivo")))))</f>
        <v/>
      </c>
      <c r="U39" s="16">
        <f>IF($A39="","",IF(E39="Sim",SUMIFS($O$9:$O$58,$B$9:$B$58,B39,$E$9:$E$58,"Sim"),""))</f>
        <v/>
      </c>
      <c r="V39" s="19">
        <f>IF($A39="","",IF(E39&lt;&gt;"Sim",IF(B39="Tesouro Nacional","Tesouro: sem FGC (risco do governo)","SEM FGC: risco do emissor"),IF(U39&gt;$C$5,"ACIMA DO FGC","dentro do limite")))</f>
        <v/>
      </c>
      <c r="W39" s="16">
        <f>IF($A39="","",IF(E39="Sim",MAX(0,U39-$C$5),""))</f>
        <v/>
      </c>
      <c r="X39" s="19">
        <f>IF($A39="","",IF(M39&lt;0,"vencido",IF(M39&lt;=90,"vence em até 90 dias","")))</f>
        <v/>
      </c>
      <c r="Y39" s="17">
        <f>IF($A39="","",H39/SUM($H$9:$H$58))</f>
        <v/>
      </c>
      <c r="Z39" s="16">
        <f>IF($A39="","",IF(K39=0,0,K39/100*IF(C39="Selic",MAX(0,1-10000/SUMIFS($H$9:$H$58,$C$9:$C$58,"Selic")),1)*IFERROR(H39*((1+N39/100)^(L39/365)-1)/LN(1+N39/100),H39*L39/365)))</f>
        <v/>
      </c>
    </row>
    <row r="40">
      <c r="A40" s="10" t="n"/>
      <c r="B40" s="10" t="n"/>
      <c r="C40" s="10" t="n"/>
      <c r="D40" s="10" t="n"/>
      <c r="E40" s="10" t="n"/>
      <c r="F40" s="10" t="n"/>
      <c r="G40" s="11" t="n"/>
      <c r="H40" s="12" t="n"/>
      <c r="I40" s="11" t="n"/>
      <c r="J40" s="13" t="n"/>
      <c r="K40" s="13" t="n"/>
      <c r="L40" s="14">
        <f>IF($A40="","",I40-G40)</f>
        <v/>
      </c>
      <c r="M40" s="14">
        <f>IF($A40="","",I40-$C$6)</f>
        <v/>
      </c>
      <c r="N40" s="15">
        <f>IF($A40="","",IF(C40="Pós CDI",((1+((1+$C$3/100)^(1/252)-1)*J40/100)^252-1)*100,IF(C40="Selic",$C$3+J40,IF(C40="Pré",J40,IF(C40="IPCA+",((1+$C$4/100)*(1+J40/100)-1)*100,"")))))</f>
        <v/>
      </c>
      <c r="O40" s="16">
        <f>IF($A40="","",H40*(1+N40/100)^(L40/365)-Z40)</f>
        <v/>
      </c>
      <c r="P40" s="17">
        <f>IF($A40="","",IF(D40="Sim",0,IF(L40&lt;=180,0.225,IF(L40&lt;=360,0.2,IF(L40&lt;=720,0.175,0.15)))))</f>
        <v/>
      </c>
      <c r="Q40" s="16">
        <f>IF($A40="","",O40-IF(AND(D40&lt;&gt;"Sim",L40&lt;30),MAX(0,O40-H40)*INDEX('Comparador líquido'!$B$41:$B$70,MAX(1,L40)),0)-MAX(0,O40-H40-IF(AND(D40&lt;&gt;"Sim",L40&lt;30),MAX(0,O40-H40)*INDEX('Comparador líquido'!$B$41:$B$70,MAX(1,L40)),0))*P40)</f>
        <v/>
      </c>
      <c r="R40" s="16">
        <f>IF($A40="","",H40*(1+N40/100)^(MAX(0,MIN(L40,$C$6-G40))/365)-IF(K40=0,0,K40/100*IF(C40="Selic",MAX(0,1-10000/SUMIFS($H$9:$H$58,$C$9:$C$58,"Selic")),1)*IFERROR(H40*((1+N40/100)^(MAX(0,MIN(L40,$C$6-G40))/365)-1)/LN(1+N40/100),H40*MAX(0,MIN(L40,$C$6-G40))/365)))</f>
        <v/>
      </c>
      <c r="S40" s="18">
        <f>IF($A40="","",IFERROR(IF(INDEX(Objetivos!$C$5:$C$14,MATCH(F40,Objetivos!$A$5:$A$14,0))="","",INDEX(Objetivos!$C$5:$C$14,MATCH(F40,Objetivos!$A$5:$A$14,0))),""))</f>
        <v/>
      </c>
      <c r="T40" s="19">
        <f>IF($A40="","",IF(F40="","sem objetivo: preencha",IF(S40="","sem data: se for reserva, precisa de liquidez diária",IF(I40&gt;S40+31,"vence DEPOIS do objetivo: risco de vender antes",IF(I40&lt;S40-365,"vence mais de 1 ano antes: risco de reinvestir","casado com o objetivo")))))</f>
        <v/>
      </c>
      <c r="U40" s="16">
        <f>IF($A40="","",IF(E40="Sim",SUMIFS($O$9:$O$58,$B$9:$B$58,B40,$E$9:$E$58,"Sim"),""))</f>
        <v/>
      </c>
      <c r="V40" s="19">
        <f>IF($A40="","",IF(E40&lt;&gt;"Sim",IF(B40="Tesouro Nacional","Tesouro: sem FGC (risco do governo)","SEM FGC: risco do emissor"),IF(U40&gt;$C$5,"ACIMA DO FGC","dentro do limite")))</f>
        <v/>
      </c>
      <c r="W40" s="16">
        <f>IF($A40="","",IF(E40="Sim",MAX(0,U40-$C$5),""))</f>
        <v/>
      </c>
      <c r="X40" s="19">
        <f>IF($A40="","",IF(M40&lt;0,"vencido",IF(M40&lt;=90,"vence em até 90 dias","")))</f>
        <v/>
      </c>
      <c r="Y40" s="17">
        <f>IF($A40="","",H40/SUM($H$9:$H$58))</f>
        <v/>
      </c>
      <c r="Z40" s="16">
        <f>IF($A40="","",IF(K40=0,0,K40/100*IF(C40="Selic",MAX(0,1-10000/SUMIFS($H$9:$H$58,$C$9:$C$58,"Selic")),1)*IFERROR(H40*((1+N40/100)^(L40/365)-1)/LN(1+N40/100),H40*L40/365)))</f>
        <v/>
      </c>
    </row>
    <row r="41">
      <c r="A41" s="10" t="n"/>
      <c r="B41" s="10" t="n"/>
      <c r="C41" s="10" t="n"/>
      <c r="D41" s="10" t="n"/>
      <c r="E41" s="10" t="n"/>
      <c r="F41" s="10" t="n"/>
      <c r="G41" s="11" t="n"/>
      <c r="H41" s="12" t="n"/>
      <c r="I41" s="11" t="n"/>
      <c r="J41" s="13" t="n"/>
      <c r="K41" s="13" t="n"/>
      <c r="L41" s="14">
        <f>IF($A41="","",I41-G41)</f>
        <v/>
      </c>
      <c r="M41" s="14">
        <f>IF($A41="","",I41-$C$6)</f>
        <v/>
      </c>
      <c r="N41" s="15">
        <f>IF($A41="","",IF(C41="Pós CDI",((1+((1+$C$3/100)^(1/252)-1)*J41/100)^252-1)*100,IF(C41="Selic",$C$3+J41,IF(C41="Pré",J41,IF(C41="IPCA+",((1+$C$4/100)*(1+J41/100)-1)*100,"")))))</f>
        <v/>
      </c>
      <c r="O41" s="16">
        <f>IF($A41="","",H41*(1+N41/100)^(L41/365)-Z41)</f>
        <v/>
      </c>
      <c r="P41" s="17">
        <f>IF($A41="","",IF(D41="Sim",0,IF(L41&lt;=180,0.225,IF(L41&lt;=360,0.2,IF(L41&lt;=720,0.175,0.15)))))</f>
        <v/>
      </c>
      <c r="Q41" s="16">
        <f>IF($A41="","",O41-IF(AND(D41&lt;&gt;"Sim",L41&lt;30),MAX(0,O41-H41)*INDEX('Comparador líquido'!$B$41:$B$70,MAX(1,L41)),0)-MAX(0,O41-H41-IF(AND(D41&lt;&gt;"Sim",L41&lt;30),MAX(0,O41-H41)*INDEX('Comparador líquido'!$B$41:$B$70,MAX(1,L41)),0))*P41)</f>
        <v/>
      </c>
      <c r="R41" s="16">
        <f>IF($A41="","",H41*(1+N41/100)^(MAX(0,MIN(L41,$C$6-G41))/365)-IF(K41=0,0,K41/100*IF(C41="Selic",MAX(0,1-10000/SUMIFS($H$9:$H$58,$C$9:$C$58,"Selic")),1)*IFERROR(H41*((1+N41/100)^(MAX(0,MIN(L41,$C$6-G41))/365)-1)/LN(1+N41/100),H41*MAX(0,MIN(L41,$C$6-G41))/365)))</f>
        <v/>
      </c>
      <c r="S41" s="18">
        <f>IF($A41="","",IFERROR(IF(INDEX(Objetivos!$C$5:$C$14,MATCH(F41,Objetivos!$A$5:$A$14,0))="","",INDEX(Objetivos!$C$5:$C$14,MATCH(F41,Objetivos!$A$5:$A$14,0))),""))</f>
        <v/>
      </c>
      <c r="T41" s="19">
        <f>IF($A41="","",IF(F41="","sem objetivo: preencha",IF(S41="","sem data: se for reserva, precisa de liquidez diária",IF(I41&gt;S41+31,"vence DEPOIS do objetivo: risco de vender antes",IF(I41&lt;S41-365,"vence mais de 1 ano antes: risco de reinvestir","casado com o objetivo")))))</f>
        <v/>
      </c>
      <c r="U41" s="16">
        <f>IF($A41="","",IF(E41="Sim",SUMIFS($O$9:$O$58,$B$9:$B$58,B41,$E$9:$E$58,"Sim"),""))</f>
        <v/>
      </c>
      <c r="V41" s="19">
        <f>IF($A41="","",IF(E41&lt;&gt;"Sim",IF(B41="Tesouro Nacional","Tesouro: sem FGC (risco do governo)","SEM FGC: risco do emissor"),IF(U41&gt;$C$5,"ACIMA DO FGC","dentro do limite")))</f>
        <v/>
      </c>
      <c r="W41" s="16">
        <f>IF($A41="","",IF(E41="Sim",MAX(0,U41-$C$5),""))</f>
        <v/>
      </c>
      <c r="X41" s="19">
        <f>IF($A41="","",IF(M41&lt;0,"vencido",IF(M41&lt;=90,"vence em até 90 dias","")))</f>
        <v/>
      </c>
      <c r="Y41" s="17">
        <f>IF($A41="","",H41/SUM($H$9:$H$58))</f>
        <v/>
      </c>
      <c r="Z41" s="16">
        <f>IF($A41="","",IF(K41=0,0,K41/100*IF(C41="Selic",MAX(0,1-10000/SUMIFS($H$9:$H$58,$C$9:$C$58,"Selic")),1)*IFERROR(H41*((1+N41/100)^(L41/365)-1)/LN(1+N41/100),H41*L41/365)))</f>
        <v/>
      </c>
    </row>
    <row r="42">
      <c r="A42" s="10" t="n"/>
      <c r="B42" s="10" t="n"/>
      <c r="C42" s="10" t="n"/>
      <c r="D42" s="10" t="n"/>
      <c r="E42" s="10" t="n"/>
      <c r="F42" s="10" t="n"/>
      <c r="G42" s="11" t="n"/>
      <c r="H42" s="12" t="n"/>
      <c r="I42" s="11" t="n"/>
      <c r="J42" s="13" t="n"/>
      <c r="K42" s="13" t="n"/>
      <c r="L42" s="14">
        <f>IF($A42="","",I42-G42)</f>
        <v/>
      </c>
      <c r="M42" s="14">
        <f>IF($A42="","",I42-$C$6)</f>
        <v/>
      </c>
      <c r="N42" s="15">
        <f>IF($A42="","",IF(C42="Pós CDI",((1+((1+$C$3/100)^(1/252)-1)*J42/100)^252-1)*100,IF(C42="Selic",$C$3+J42,IF(C42="Pré",J42,IF(C42="IPCA+",((1+$C$4/100)*(1+J42/100)-1)*100,"")))))</f>
        <v/>
      </c>
      <c r="O42" s="16">
        <f>IF($A42="","",H42*(1+N42/100)^(L42/365)-Z42)</f>
        <v/>
      </c>
      <c r="P42" s="17">
        <f>IF($A42="","",IF(D42="Sim",0,IF(L42&lt;=180,0.225,IF(L42&lt;=360,0.2,IF(L42&lt;=720,0.175,0.15)))))</f>
        <v/>
      </c>
      <c r="Q42" s="16">
        <f>IF($A42="","",O42-IF(AND(D42&lt;&gt;"Sim",L42&lt;30),MAX(0,O42-H42)*INDEX('Comparador líquido'!$B$41:$B$70,MAX(1,L42)),0)-MAX(0,O42-H42-IF(AND(D42&lt;&gt;"Sim",L42&lt;30),MAX(0,O42-H42)*INDEX('Comparador líquido'!$B$41:$B$70,MAX(1,L42)),0))*P42)</f>
        <v/>
      </c>
      <c r="R42" s="16">
        <f>IF($A42="","",H42*(1+N42/100)^(MAX(0,MIN(L42,$C$6-G42))/365)-IF(K42=0,0,K42/100*IF(C42="Selic",MAX(0,1-10000/SUMIFS($H$9:$H$58,$C$9:$C$58,"Selic")),1)*IFERROR(H42*((1+N42/100)^(MAX(0,MIN(L42,$C$6-G42))/365)-1)/LN(1+N42/100),H42*MAX(0,MIN(L42,$C$6-G42))/365)))</f>
        <v/>
      </c>
      <c r="S42" s="18">
        <f>IF($A42="","",IFERROR(IF(INDEX(Objetivos!$C$5:$C$14,MATCH(F42,Objetivos!$A$5:$A$14,0))="","",INDEX(Objetivos!$C$5:$C$14,MATCH(F42,Objetivos!$A$5:$A$14,0))),""))</f>
        <v/>
      </c>
      <c r="T42" s="19">
        <f>IF($A42="","",IF(F42="","sem objetivo: preencha",IF(S42="","sem data: se for reserva, precisa de liquidez diária",IF(I42&gt;S42+31,"vence DEPOIS do objetivo: risco de vender antes",IF(I42&lt;S42-365,"vence mais de 1 ano antes: risco de reinvestir","casado com o objetivo")))))</f>
        <v/>
      </c>
      <c r="U42" s="16">
        <f>IF($A42="","",IF(E42="Sim",SUMIFS($O$9:$O$58,$B$9:$B$58,B42,$E$9:$E$58,"Sim"),""))</f>
        <v/>
      </c>
      <c r="V42" s="19">
        <f>IF($A42="","",IF(E42&lt;&gt;"Sim",IF(B42="Tesouro Nacional","Tesouro: sem FGC (risco do governo)","SEM FGC: risco do emissor"),IF(U42&gt;$C$5,"ACIMA DO FGC","dentro do limite")))</f>
        <v/>
      </c>
      <c r="W42" s="16">
        <f>IF($A42="","",IF(E42="Sim",MAX(0,U42-$C$5),""))</f>
        <v/>
      </c>
      <c r="X42" s="19">
        <f>IF($A42="","",IF(M42&lt;0,"vencido",IF(M42&lt;=90,"vence em até 90 dias","")))</f>
        <v/>
      </c>
      <c r="Y42" s="17">
        <f>IF($A42="","",H42/SUM($H$9:$H$58))</f>
        <v/>
      </c>
      <c r="Z42" s="16">
        <f>IF($A42="","",IF(K42=0,0,K42/100*IF(C42="Selic",MAX(0,1-10000/SUMIFS($H$9:$H$58,$C$9:$C$58,"Selic")),1)*IFERROR(H42*((1+N42/100)^(L42/365)-1)/LN(1+N42/100),H42*L42/365)))</f>
        <v/>
      </c>
    </row>
    <row r="43">
      <c r="A43" s="10" t="n"/>
      <c r="B43" s="10" t="n"/>
      <c r="C43" s="10" t="n"/>
      <c r="D43" s="10" t="n"/>
      <c r="E43" s="10" t="n"/>
      <c r="F43" s="10" t="n"/>
      <c r="G43" s="11" t="n"/>
      <c r="H43" s="12" t="n"/>
      <c r="I43" s="11" t="n"/>
      <c r="J43" s="13" t="n"/>
      <c r="K43" s="13" t="n"/>
      <c r="L43" s="14">
        <f>IF($A43="","",I43-G43)</f>
        <v/>
      </c>
      <c r="M43" s="14">
        <f>IF($A43="","",I43-$C$6)</f>
        <v/>
      </c>
      <c r="N43" s="15">
        <f>IF($A43="","",IF(C43="Pós CDI",((1+((1+$C$3/100)^(1/252)-1)*J43/100)^252-1)*100,IF(C43="Selic",$C$3+J43,IF(C43="Pré",J43,IF(C43="IPCA+",((1+$C$4/100)*(1+J43/100)-1)*100,"")))))</f>
        <v/>
      </c>
      <c r="O43" s="16">
        <f>IF($A43="","",H43*(1+N43/100)^(L43/365)-Z43)</f>
        <v/>
      </c>
      <c r="P43" s="17">
        <f>IF($A43="","",IF(D43="Sim",0,IF(L43&lt;=180,0.225,IF(L43&lt;=360,0.2,IF(L43&lt;=720,0.175,0.15)))))</f>
        <v/>
      </c>
      <c r="Q43" s="16">
        <f>IF($A43="","",O43-IF(AND(D43&lt;&gt;"Sim",L43&lt;30),MAX(0,O43-H43)*INDEX('Comparador líquido'!$B$41:$B$70,MAX(1,L43)),0)-MAX(0,O43-H43-IF(AND(D43&lt;&gt;"Sim",L43&lt;30),MAX(0,O43-H43)*INDEX('Comparador líquido'!$B$41:$B$70,MAX(1,L43)),0))*P43)</f>
        <v/>
      </c>
      <c r="R43" s="16">
        <f>IF($A43="","",H43*(1+N43/100)^(MAX(0,MIN(L43,$C$6-G43))/365)-IF(K43=0,0,K43/100*IF(C43="Selic",MAX(0,1-10000/SUMIFS($H$9:$H$58,$C$9:$C$58,"Selic")),1)*IFERROR(H43*((1+N43/100)^(MAX(0,MIN(L43,$C$6-G43))/365)-1)/LN(1+N43/100),H43*MAX(0,MIN(L43,$C$6-G43))/365)))</f>
        <v/>
      </c>
      <c r="S43" s="18">
        <f>IF($A43="","",IFERROR(IF(INDEX(Objetivos!$C$5:$C$14,MATCH(F43,Objetivos!$A$5:$A$14,0))="","",INDEX(Objetivos!$C$5:$C$14,MATCH(F43,Objetivos!$A$5:$A$14,0))),""))</f>
        <v/>
      </c>
      <c r="T43" s="19">
        <f>IF($A43="","",IF(F43="","sem objetivo: preencha",IF(S43="","sem data: se for reserva, precisa de liquidez diária",IF(I43&gt;S43+31,"vence DEPOIS do objetivo: risco de vender antes",IF(I43&lt;S43-365,"vence mais de 1 ano antes: risco de reinvestir","casado com o objetivo")))))</f>
        <v/>
      </c>
      <c r="U43" s="16">
        <f>IF($A43="","",IF(E43="Sim",SUMIFS($O$9:$O$58,$B$9:$B$58,B43,$E$9:$E$58,"Sim"),""))</f>
        <v/>
      </c>
      <c r="V43" s="19">
        <f>IF($A43="","",IF(E43&lt;&gt;"Sim",IF(B43="Tesouro Nacional","Tesouro: sem FGC (risco do governo)","SEM FGC: risco do emissor"),IF(U43&gt;$C$5,"ACIMA DO FGC","dentro do limite")))</f>
        <v/>
      </c>
      <c r="W43" s="16">
        <f>IF($A43="","",IF(E43="Sim",MAX(0,U43-$C$5),""))</f>
        <v/>
      </c>
      <c r="X43" s="19">
        <f>IF($A43="","",IF(M43&lt;0,"vencido",IF(M43&lt;=90,"vence em até 90 dias","")))</f>
        <v/>
      </c>
      <c r="Y43" s="17">
        <f>IF($A43="","",H43/SUM($H$9:$H$58))</f>
        <v/>
      </c>
      <c r="Z43" s="16">
        <f>IF($A43="","",IF(K43=0,0,K43/100*IF(C43="Selic",MAX(0,1-10000/SUMIFS($H$9:$H$58,$C$9:$C$58,"Selic")),1)*IFERROR(H43*((1+N43/100)^(L43/365)-1)/LN(1+N43/100),H43*L43/365)))</f>
        <v/>
      </c>
    </row>
    <row r="44">
      <c r="A44" s="10" t="n"/>
      <c r="B44" s="10" t="n"/>
      <c r="C44" s="10" t="n"/>
      <c r="D44" s="10" t="n"/>
      <c r="E44" s="10" t="n"/>
      <c r="F44" s="10" t="n"/>
      <c r="G44" s="11" t="n"/>
      <c r="H44" s="12" t="n"/>
      <c r="I44" s="11" t="n"/>
      <c r="J44" s="13" t="n"/>
      <c r="K44" s="13" t="n"/>
      <c r="L44" s="14">
        <f>IF($A44="","",I44-G44)</f>
        <v/>
      </c>
      <c r="M44" s="14">
        <f>IF($A44="","",I44-$C$6)</f>
        <v/>
      </c>
      <c r="N44" s="15">
        <f>IF($A44="","",IF(C44="Pós CDI",((1+((1+$C$3/100)^(1/252)-1)*J44/100)^252-1)*100,IF(C44="Selic",$C$3+J44,IF(C44="Pré",J44,IF(C44="IPCA+",((1+$C$4/100)*(1+J44/100)-1)*100,"")))))</f>
        <v/>
      </c>
      <c r="O44" s="16">
        <f>IF($A44="","",H44*(1+N44/100)^(L44/365)-Z44)</f>
        <v/>
      </c>
      <c r="P44" s="17">
        <f>IF($A44="","",IF(D44="Sim",0,IF(L44&lt;=180,0.225,IF(L44&lt;=360,0.2,IF(L44&lt;=720,0.175,0.15)))))</f>
        <v/>
      </c>
      <c r="Q44" s="16">
        <f>IF($A44="","",O44-IF(AND(D44&lt;&gt;"Sim",L44&lt;30),MAX(0,O44-H44)*INDEX('Comparador líquido'!$B$41:$B$70,MAX(1,L44)),0)-MAX(0,O44-H44-IF(AND(D44&lt;&gt;"Sim",L44&lt;30),MAX(0,O44-H44)*INDEX('Comparador líquido'!$B$41:$B$70,MAX(1,L44)),0))*P44)</f>
        <v/>
      </c>
      <c r="R44" s="16">
        <f>IF($A44="","",H44*(1+N44/100)^(MAX(0,MIN(L44,$C$6-G44))/365)-IF(K44=0,0,K44/100*IF(C44="Selic",MAX(0,1-10000/SUMIFS($H$9:$H$58,$C$9:$C$58,"Selic")),1)*IFERROR(H44*((1+N44/100)^(MAX(0,MIN(L44,$C$6-G44))/365)-1)/LN(1+N44/100),H44*MAX(0,MIN(L44,$C$6-G44))/365)))</f>
        <v/>
      </c>
      <c r="S44" s="18">
        <f>IF($A44="","",IFERROR(IF(INDEX(Objetivos!$C$5:$C$14,MATCH(F44,Objetivos!$A$5:$A$14,0))="","",INDEX(Objetivos!$C$5:$C$14,MATCH(F44,Objetivos!$A$5:$A$14,0))),""))</f>
        <v/>
      </c>
      <c r="T44" s="19">
        <f>IF($A44="","",IF(F44="","sem objetivo: preencha",IF(S44="","sem data: se for reserva, precisa de liquidez diária",IF(I44&gt;S44+31,"vence DEPOIS do objetivo: risco de vender antes",IF(I44&lt;S44-365,"vence mais de 1 ano antes: risco de reinvestir","casado com o objetivo")))))</f>
        <v/>
      </c>
      <c r="U44" s="16">
        <f>IF($A44="","",IF(E44="Sim",SUMIFS($O$9:$O$58,$B$9:$B$58,B44,$E$9:$E$58,"Sim"),""))</f>
        <v/>
      </c>
      <c r="V44" s="19">
        <f>IF($A44="","",IF(E44&lt;&gt;"Sim",IF(B44="Tesouro Nacional","Tesouro: sem FGC (risco do governo)","SEM FGC: risco do emissor"),IF(U44&gt;$C$5,"ACIMA DO FGC","dentro do limite")))</f>
        <v/>
      </c>
      <c r="W44" s="16">
        <f>IF($A44="","",IF(E44="Sim",MAX(0,U44-$C$5),""))</f>
        <v/>
      </c>
      <c r="X44" s="19">
        <f>IF($A44="","",IF(M44&lt;0,"vencido",IF(M44&lt;=90,"vence em até 90 dias","")))</f>
        <v/>
      </c>
      <c r="Y44" s="17">
        <f>IF($A44="","",H44/SUM($H$9:$H$58))</f>
        <v/>
      </c>
      <c r="Z44" s="16">
        <f>IF($A44="","",IF(K44=0,0,K44/100*IF(C44="Selic",MAX(0,1-10000/SUMIFS($H$9:$H$58,$C$9:$C$58,"Selic")),1)*IFERROR(H44*((1+N44/100)^(L44/365)-1)/LN(1+N44/100),H44*L44/365)))</f>
        <v/>
      </c>
    </row>
    <row r="45">
      <c r="A45" s="10" t="n"/>
      <c r="B45" s="10" t="n"/>
      <c r="C45" s="10" t="n"/>
      <c r="D45" s="10" t="n"/>
      <c r="E45" s="10" t="n"/>
      <c r="F45" s="10" t="n"/>
      <c r="G45" s="11" t="n"/>
      <c r="H45" s="12" t="n"/>
      <c r="I45" s="11" t="n"/>
      <c r="J45" s="13" t="n"/>
      <c r="K45" s="13" t="n"/>
      <c r="L45" s="14">
        <f>IF($A45="","",I45-G45)</f>
        <v/>
      </c>
      <c r="M45" s="14">
        <f>IF($A45="","",I45-$C$6)</f>
        <v/>
      </c>
      <c r="N45" s="15">
        <f>IF($A45="","",IF(C45="Pós CDI",((1+((1+$C$3/100)^(1/252)-1)*J45/100)^252-1)*100,IF(C45="Selic",$C$3+J45,IF(C45="Pré",J45,IF(C45="IPCA+",((1+$C$4/100)*(1+J45/100)-1)*100,"")))))</f>
        <v/>
      </c>
      <c r="O45" s="16">
        <f>IF($A45="","",H45*(1+N45/100)^(L45/365)-Z45)</f>
        <v/>
      </c>
      <c r="P45" s="17">
        <f>IF($A45="","",IF(D45="Sim",0,IF(L45&lt;=180,0.225,IF(L45&lt;=360,0.2,IF(L45&lt;=720,0.175,0.15)))))</f>
        <v/>
      </c>
      <c r="Q45" s="16">
        <f>IF($A45="","",O45-IF(AND(D45&lt;&gt;"Sim",L45&lt;30),MAX(0,O45-H45)*INDEX('Comparador líquido'!$B$41:$B$70,MAX(1,L45)),0)-MAX(0,O45-H45-IF(AND(D45&lt;&gt;"Sim",L45&lt;30),MAX(0,O45-H45)*INDEX('Comparador líquido'!$B$41:$B$70,MAX(1,L45)),0))*P45)</f>
        <v/>
      </c>
      <c r="R45" s="16">
        <f>IF($A45="","",H45*(1+N45/100)^(MAX(0,MIN(L45,$C$6-G45))/365)-IF(K45=0,0,K45/100*IF(C45="Selic",MAX(0,1-10000/SUMIFS($H$9:$H$58,$C$9:$C$58,"Selic")),1)*IFERROR(H45*((1+N45/100)^(MAX(0,MIN(L45,$C$6-G45))/365)-1)/LN(1+N45/100),H45*MAX(0,MIN(L45,$C$6-G45))/365)))</f>
        <v/>
      </c>
      <c r="S45" s="18">
        <f>IF($A45="","",IFERROR(IF(INDEX(Objetivos!$C$5:$C$14,MATCH(F45,Objetivos!$A$5:$A$14,0))="","",INDEX(Objetivos!$C$5:$C$14,MATCH(F45,Objetivos!$A$5:$A$14,0))),""))</f>
        <v/>
      </c>
      <c r="T45" s="19">
        <f>IF($A45="","",IF(F45="","sem objetivo: preencha",IF(S45="","sem data: se for reserva, precisa de liquidez diária",IF(I45&gt;S45+31,"vence DEPOIS do objetivo: risco de vender antes",IF(I45&lt;S45-365,"vence mais de 1 ano antes: risco de reinvestir","casado com o objetivo")))))</f>
        <v/>
      </c>
      <c r="U45" s="16">
        <f>IF($A45="","",IF(E45="Sim",SUMIFS($O$9:$O$58,$B$9:$B$58,B45,$E$9:$E$58,"Sim"),""))</f>
        <v/>
      </c>
      <c r="V45" s="19">
        <f>IF($A45="","",IF(E45&lt;&gt;"Sim",IF(B45="Tesouro Nacional","Tesouro: sem FGC (risco do governo)","SEM FGC: risco do emissor"),IF(U45&gt;$C$5,"ACIMA DO FGC","dentro do limite")))</f>
        <v/>
      </c>
      <c r="W45" s="16">
        <f>IF($A45="","",IF(E45="Sim",MAX(0,U45-$C$5),""))</f>
        <v/>
      </c>
      <c r="X45" s="19">
        <f>IF($A45="","",IF(M45&lt;0,"vencido",IF(M45&lt;=90,"vence em até 90 dias","")))</f>
        <v/>
      </c>
      <c r="Y45" s="17">
        <f>IF($A45="","",H45/SUM($H$9:$H$58))</f>
        <v/>
      </c>
      <c r="Z45" s="16">
        <f>IF($A45="","",IF(K45=0,0,K45/100*IF(C45="Selic",MAX(0,1-10000/SUMIFS($H$9:$H$58,$C$9:$C$58,"Selic")),1)*IFERROR(H45*((1+N45/100)^(L45/365)-1)/LN(1+N45/100),H45*L45/365)))</f>
        <v/>
      </c>
    </row>
    <row r="46">
      <c r="A46" s="10" t="n"/>
      <c r="B46" s="10" t="n"/>
      <c r="C46" s="10" t="n"/>
      <c r="D46" s="10" t="n"/>
      <c r="E46" s="10" t="n"/>
      <c r="F46" s="10" t="n"/>
      <c r="G46" s="11" t="n"/>
      <c r="H46" s="12" t="n"/>
      <c r="I46" s="11" t="n"/>
      <c r="J46" s="13" t="n"/>
      <c r="K46" s="13" t="n"/>
      <c r="L46" s="14">
        <f>IF($A46="","",I46-G46)</f>
        <v/>
      </c>
      <c r="M46" s="14">
        <f>IF($A46="","",I46-$C$6)</f>
        <v/>
      </c>
      <c r="N46" s="15">
        <f>IF($A46="","",IF(C46="Pós CDI",((1+((1+$C$3/100)^(1/252)-1)*J46/100)^252-1)*100,IF(C46="Selic",$C$3+J46,IF(C46="Pré",J46,IF(C46="IPCA+",((1+$C$4/100)*(1+J46/100)-1)*100,"")))))</f>
        <v/>
      </c>
      <c r="O46" s="16">
        <f>IF($A46="","",H46*(1+N46/100)^(L46/365)-Z46)</f>
        <v/>
      </c>
      <c r="P46" s="17">
        <f>IF($A46="","",IF(D46="Sim",0,IF(L46&lt;=180,0.225,IF(L46&lt;=360,0.2,IF(L46&lt;=720,0.175,0.15)))))</f>
        <v/>
      </c>
      <c r="Q46" s="16">
        <f>IF($A46="","",O46-IF(AND(D46&lt;&gt;"Sim",L46&lt;30),MAX(0,O46-H46)*INDEX('Comparador líquido'!$B$41:$B$70,MAX(1,L46)),0)-MAX(0,O46-H46-IF(AND(D46&lt;&gt;"Sim",L46&lt;30),MAX(0,O46-H46)*INDEX('Comparador líquido'!$B$41:$B$70,MAX(1,L46)),0))*P46)</f>
        <v/>
      </c>
      <c r="R46" s="16">
        <f>IF($A46="","",H46*(1+N46/100)^(MAX(0,MIN(L46,$C$6-G46))/365)-IF(K46=0,0,K46/100*IF(C46="Selic",MAX(0,1-10000/SUMIFS($H$9:$H$58,$C$9:$C$58,"Selic")),1)*IFERROR(H46*((1+N46/100)^(MAX(0,MIN(L46,$C$6-G46))/365)-1)/LN(1+N46/100),H46*MAX(0,MIN(L46,$C$6-G46))/365)))</f>
        <v/>
      </c>
      <c r="S46" s="18">
        <f>IF($A46="","",IFERROR(IF(INDEX(Objetivos!$C$5:$C$14,MATCH(F46,Objetivos!$A$5:$A$14,0))="","",INDEX(Objetivos!$C$5:$C$14,MATCH(F46,Objetivos!$A$5:$A$14,0))),""))</f>
        <v/>
      </c>
      <c r="T46" s="19">
        <f>IF($A46="","",IF(F46="","sem objetivo: preencha",IF(S46="","sem data: se for reserva, precisa de liquidez diária",IF(I46&gt;S46+31,"vence DEPOIS do objetivo: risco de vender antes",IF(I46&lt;S46-365,"vence mais de 1 ano antes: risco de reinvestir","casado com o objetivo")))))</f>
        <v/>
      </c>
      <c r="U46" s="16">
        <f>IF($A46="","",IF(E46="Sim",SUMIFS($O$9:$O$58,$B$9:$B$58,B46,$E$9:$E$58,"Sim"),""))</f>
        <v/>
      </c>
      <c r="V46" s="19">
        <f>IF($A46="","",IF(E46&lt;&gt;"Sim",IF(B46="Tesouro Nacional","Tesouro: sem FGC (risco do governo)","SEM FGC: risco do emissor"),IF(U46&gt;$C$5,"ACIMA DO FGC","dentro do limite")))</f>
        <v/>
      </c>
      <c r="W46" s="16">
        <f>IF($A46="","",IF(E46="Sim",MAX(0,U46-$C$5),""))</f>
        <v/>
      </c>
      <c r="X46" s="19">
        <f>IF($A46="","",IF(M46&lt;0,"vencido",IF(M46&lt;=90,"vence em até 90 dias","")))</f>
        <v/>
      </c>
      <c r="Y46" s="17">
        <f>IF($A46="","",H46/SUM($H$9:$H$58))</f>
        <v/>
      </c>
      <c r="Z46" s="16">
        <f>IF($A46="","",IF(K46=0,0,K46/100*IF(C46="Selic",MAX(0,1-10000/SUMIFS($H$9:$H$58,$C$9:$C$58,"Selic")),1)*IFERROR(H46*((1+N46/100)^(L46/365)-1)/LN(1+N46/100),H46*L46/365)))</f>
        <v/>
      </c>
    </row>
    <row r="47">
      <c r="A47" s="10" t="n"/>
      <c r="B47" s="10" t="n"/>
      <c r="C47" s="10" t="n"/>
      <c r="D47" s="10" t="n"/>
      <c r="E47" s="10" t="n"/>
      <c r="F47" s="10" t="n"/>
      <c r="G47" s="11" t="n"/>
      <c r="H47" s="12" t="n"/>
      <c r="I47" s="11" t="n"/>
      <c r="J47" s="13" t="n"/>
      <c r="K47" s="13" t="n"/>
      <c r="L47" s="14">
        <f>IF($A47="","",I47-G47)</f>
        <v/>
      </c>
      <c r="M47" s="14">
        <f>IF($A47="","",I47-$C$6)</f>
        <v/>
      </c>
      <c r="N47" s="15">
        <f>IF($A47="","",IF(C47="Pós CDI",((1+((1+$C$3/100)^(1/252)-1)*J47/100)^252-1)*100,IF(C47="Selic",$C$3+J47,IF(C47="Pré",J47,IF(C47="IPCA+",((1+$C$4/100)*(1+J47/100)-1)*100,"")))))</f>
        <v/>
      </c>
      <c r="O47" s="16">
        <f>IF($A47="","",H47*(1+N47/100)^(L47/365)-Z47)</f>
        <v/>
      </c>
      <c r="P47" s="17">
        <f>IF($A47="","",IF(D47="Sim",0,IF(L47&lt;=180,0.225,IF(L47&lt;=360,0.2,IF(L47&lt;=720,0.175,0.15)))))</f>
        <v/>
      </c>
      <c r="Q47" s="16">
        <f>IF($A47="","",O47-IF(AND(D47&lt;&gt;"Sim",L47&lt;30),MAX(0,O47-H47)*INDEX('Comparador líquido'!$B$41:$B$70,MAX(1,L47)),0)-MAX(0,O47-H47-IF(AND(D47&lt;&gt;"Sim",L47&lt;30),MAX(0,O47-H47)*INDEX('Comparador líquido'!$B$41:$B$70,MAX(1,L47)),0))*P47)</f>
        <v/>
      </c>
      <c r="R47" s="16">
        <f>IF($A47="","",H47*(1+N47/100)^(MAX(0,MIN(L47,$C$6-G47))/365)-IF(K47=0,0,K47/100*IF(C47="Selic",MAX(0,1-10000/SUMIFS($H$9:$H$58,$C$9:$C$58,"Selic")),1)*IFERROR(H47*((1+N47/100)^(MAX(0,MIN(L47,$C$6-G47))/365)-1)/LN(1+N47/100),H47*MAX(0,MIN(L47,$C$6-G47))/365)))</f>
        <v/>
      </c>
      <c r="S47" s="18">
        <f>IF($A47="","",IFERROR(IF(INDEX(Objetivos!$C$5:$C$14,MATCH(F47,Objetivos!$A$5:$A$14,0))="","",INDEX(Objetivos!$C$5:$C$14,MATCH(F47,Objetivos!$A$5:$A$14,0))),""))</f>
        <v/>
      </c>
      <c r="T47" s="19">
        <f>IF($A47="","",IF(F47="","sem objetivo: preencha",IF(S47="","sem data: se for reserva, precisa de liquidez diária",IF(I47&gt;S47+31,"vence DEPOIS do objetivo: risco de vender antes",IF(I47&lt;S47-365,"vence mais de 1 ano antes: risco de reinvestir","casado com o objetivo")))))</f>
        <v/>
      </c>
      <c r="U47" s="16">
        <f>IF($A47="","",IF(E47="Sim",SUMIFS($O$9:$O$58,$B$9:$B$58,B47,$E$9:$E$58,"Sim"),""))</f>
        <v/>
      </c>
      <c r="V47" s="19">
        <f>IF($A47="","",IF(E47&lt;&gt;"Sim",IF(B47="Tesouro Nacional","Tesouro: sem FGC (risco do governo)","SEM FGC: risco do emissor"),IF(U47&gt;$C$5,"ACIMA DO FGC","dentro do limite")))</f>
        <v/>
      </c>
      <c r="W47" s="16">
        <f>IF($A47="","",IF(E47="Sim",MAX(0,U47-$C$5),""))</f>
        <v/>
      </c>
      <c r="X47" s="19">
        <f>IF($A47="","",IF(M47&lt;0,"vencido",IF(M47&lt;=90,"vence em até 90 dias","")))</f>
        <v/>
      </c>
      <c r="Y47" s="17">
        <f>IF($A47="","",H47/SUM($H$9:$H$58))</f>
        <v/>
      </c>
      <c r="Z47" s="16">
        <f>IF($A47="","",IF(K47=0,0,K47/100*IF(C47="Selic",MAX(0,1-10000/SUMIFS($H$9:$H$58,$C$9:$C$58,"Selic")),1)*IFERROR(H47*((1+N47/100)^(L47/365)-1)/LN(1+N47/100),H47*L47/365)))</f>
        <v/>
      </c>
    </row>
    <row r="48">
      <c r="A48" s="10" t="n"/>
      <c r="B48" s="10" t="n"/>
      <c r="C48" s="10" t="n"/>
      <c r="D48" s="10" t="n"/>
      <c r="E48" s="10" t="n"/>
      <c r="F48" s="10" t="n"/>
      <c r="G48" s="11" t="n"/>
      <c r="H48" s="12" t="n"/>
      <c r="I48" s="11" t="n"/>
      <c r="J48" s="13" t="n"/>
      <c r="K48" s="13" t="n"/>
      <c r="L48" s="14">
        <f>IF($A48="","",I48-G48)</f>
        <v/>
      </c>
      <c r="M48" s="14">
        <f>IF($A48="","",I48-$C$6)</f>
        <v/>
      </c>
      <c r="N48" s="15">
        <f>IF($A48="","",IF(C48="Pós CDI",((1+((1+$C$3/100)^(1/252)-1)*J48/100)^252-1)*100,IF(C48="Selic",$C$3+J48,IF(C48="Pré",J48,IF(C48="IPCA+",((1+$C$4/100)*(1+J48/100)-1)*100,"")))))</f>
        <v/>
      </c>
      <c r="O48" s="16">
        <f>IF($A48="","",H48*(1+N48/100)^(L48/365)-Z48)</f>
        <v/>
      </c>
      <c r="P48" s="17">
        <f>IF($A48="","",IF(D48="Sim",0,IF(L48&lt;=180,0.225,IF(L48&lt;=360,0.2,IF(L48&lt;=720,0.175,0.15)))))</f>
        <v/>
      </c>
      <c r="Q48" s="16">
        <f>IF($A48="","",O48-IF(AND(D48&lt;&gt;"Sim",L48&lt;30),MAX(0,O48-H48)*INDEX('Comparador líquido'!$B$41:$B$70,MAX(1,L48)),0)-MAX(0,O48-H48-IF(AND(D48&lt;&gt;"Sim",L48&lt;30),MAX(0,O48-H48)*INDEX('Comparador líquido'!$B$41:$B$70,MAX(1,L48)),0))*P48)</f>
        <v/>
      </c>
      <c r="R48" s="16">
        <f>IF($A48="","",H48*(1+N48/100)^(MAX(0,MIN(L48,$C$6-G48))/365)-IF(K48=0,0,K48/100*IF(C48="Selic",MAX(0,1-10000/SUMIFS($H$9:$H$58,$C$9:$C$58,"Selic")),1)*IFERROR(H48*((1+N48/100)^(MAX(0,MIN(L48,$C$6-G48))/365)-1)/LN(1+N48/100),H48*MAX(0,MIN(L48,$C$6-G48))/365)))</f>
        <v/>
      </c>
      <c r="S48" s="18">
        <f>IF($A48="","",IFERROR(IF(INDEX(Objetivos!$C$5:$C$14,MATCH(F48,Objetivos!$A$5:$A$14,0))="","",INDEX(Objetivos!$C$5:$C$14,MATCH(F48,Objetivos!$A$5:$A$14,0))),""))</f>
        <v/>
      </c>
      <c r="T48" s="19">
        <f>IF($A48="","",IF(F48="","sem objetivo: preencha",IF(S48="","sem data: se for reserva, precisa de liquidez diária",IF(I48&gt;S48+31,"vence DEPOIS do objetivo: risco de vender antes",IF(I48&lt;S48-365,"vence mais de 1 ano antes: risco de reinvestir","casado com o objetivo")))))</f>
        <v/>
      </c>
      <c r="U48" s="16">
        <f>IF($A48="","",IF(E48="Sim",SUMIFS($O$9:$O$58,$B$9:$B$58,B48,$E$9:$E$58,"Sim"),""))</f>
        <v/>
      </c>
      <c r="V48" s="19">
        <f>IF($A48="","",IF(E48&lt;&gt;"Sim",IF(B48="Tesouro Nacional","Tesouro: sem FGC (risco do governo)","SEM FGC: risco do emissor"),IF(U48&gt;$C$5,"ACIMA DO FGC","dentro do limite")))</f>
        <v/>
      </c>
      <c r="W48" s="16">
        <f>IF($A48="","",IF(E48="Sim",MAX(0,U48-$C$5),""))</f>
        <v/>
      </c>
      <c r="X48" s="19">
        <f>IF($A48="","",IF(M48&lt;0,"vencido",IF(M48&lt;=90,"vence em até 90 dias","")))</f>
        <v/>
      </c>
      <c r="Y48" s="17">
        <f>IF($A48="","",H48/SUM($H$9:$H$58))</f>
        <v/>
      </c>
      <c r="Z48" s="16">
        <f>IF($A48="","",IF(K48=0,0,K48/100*IF(C48="Selic",MAX(0,1-10000/SUMIFS($H$9:$H$58,$C$9:$C$58,"Selic")),1)*IFERROR(H48*((1+N48/100)^(L48/365)-1)/LN(1+N48/100),H48*L48/365)))</f>
        <v/>
      </c>
    </row>
    <row r="49">
      <c r="A49" s="10" t="n"/>
      <c r="B49" s="10" t="n"/>
      <c r="C49" s="10" t="n"/>
      <c r="D49" s="10" t="n"/>
      <c r="E49" s="10" t="n"/>
      <c r="F49" s="10" t="n"/>
      <c r="G49" s="11" t="n"/>
      <c r="H49" s="12" t="n"/>
      <c r="I49" s="11" t="n"/>
      <c r="J49" s="13" t="n"/>
      <c r="K49" s="13" t="n"/>
      <c r="L49" s="14">
        <f>IF($A49="","",I49-G49)</f>
        <v/>
      </c>
      <c r="M49" s="14">
        <f>IF($A49="","",I49-$C$6)</f>
        <v/>
      </c>
      <c r="N49" s="15">
        <f>IF($A49="","",IF(C49="Pós CDI",((1+((1+$C$3/100)^(1/252)-1)*J49/100)^252-1)*100,IF(C49="Selic",$C$3+J49,IF(C49="Pré",J49,IF(C49="IPCA+",((1+$C$4/100)*(1+J49/100)-1)*100,"")))))</f>
        <v/>
      </c>
      <c r="O49" s="16">
        <f>IF($A49="","",H49*(1+N49/100)^(L49/365)-Z49)</f>
        <v/>
      </c>
      <c r="P49" s="17">
        <f>IF($A49="","",IF(D49="Sim",0,IF(L49&lt;=180,0.225,IF(L49&lt;=360,0.2,IF(L49&lt;=720,0.175,0.15)))))</f>
        <v/>
      </c>
      <c r="Q49" s="16">
        <f>IF($A49="","",O49-IF(AND(D49&lt;&gt;"Sim",L49&lt;30),MAX(0,O49-H49)*INDEX('Comparador líquido'!$B$41:$B$70,MAX(1,L49)),0)-MAX(0,O49-H49-IF(AND(D49&lt;&gt;"Sim",L49&lt;30),MAX(0,O49-H49)*INDEX('Comparador líquido'!$B$41:$B$70,MAX(1,L49)),0))*P49)</f>
        <v/>
      </c>
      <c r="R49" s="16">
        <f>IF($A49="","",H49*(1+N49/100)^(MAX(0,MIN(L49,$C$6-G49))/365)-IF(K49=0,0,K49/100*IF(C49="Selic",MAX(0,1-10000/SUMIFS($H$9:$H$58,$C$9:$C$58,"Selic")),1)*IFERROR(H49*((1+N49/100)^(MAX(0,MIN(L49,$C$6-G49))/365)-1)/LN(1+N49/100),H49*MAX(0,MIN(L49,$C$6-G49))/365)))</f>
        <v/>
      </c>
      <c r="S49" s="18">
        <f>IF($A49="","",IFERROR(IF(INDEX(Objetivos!$C$5:$C$14,MATCH(F49,Objetivos!$A$5:$A$14,0))="","",INDEX(Objetivos!$C$5:$C$14,MATCH(F49,Objetivos!$A$5:$A$14,0))),""))</f>
        <v/>
      </c>
      <c r="T49" s="19">
        <f>IF($A49="","",IF(F49="","sem objetivo: preencha",IF(S49="","sem data: se for reserva, precisa de liquidez diária",IF(I49&gt;S49+31,"vence DEPOIS do objetivo: risco de vender antes",IF(I49&lt;S49-365,"vence mais de 1 ano antes: risco de reinvestir","casado com o objetivo")))))</f>
        <v/>
      </c>
      <c r="U49" s="16">
        <f>IF($A49="","",IF(E49="Sim",SUMIFS($O$9:$O$58,$B$9:$B$58,B49,$E$9:$E$58,"Sim"),""))</f>
        <v/>
      </c>
      <c r="V49" s="19">
        <f>IF($A49="","",IF(E49&lt;&gt;"Sim",IF(B49="Tesouro Nacional","Tesouro: sem FGC (risco do governo)","SEM FGC: risco do emissor"),IF(U49&gt;$C$5,"ACIMA DO FGC","dentro do limite")))</f>
        <v/>
      </c>
      <c r="W49" s="16">
        <f>IF($A49="","",IF(E49="Sim",MAX(0,U49-$C$5),""))</f>
        <v/>
      </c>
      <c r="X49" s="19">
        <f>IF($A49="","",IF(M49&lt;0,"vencido",IF(M49&lt;=90,"vence em até 90 dias","")))</f>
        <v/>
      </c>
      <c r="Y49" s="17">
        <f>IF($A49="","",H49/SUM($H$9:$H$58))</f>
        <v/>
      </c>
      <c r="Z49" s="16">
        <f>IF($A49="","",IF(K49=0,0,K49/100*IF(C49="Selic",MAX(0,1-10000/SUMIFS($H$9:$H$58,$C$9:$C$58,"Selic")),1)*IFERROR(H49*((1+N49/100)^(L49/365)-1)/LN(1+N49/100),H49*L49/365)))</f>
        <v/>
      </c>
    </row>
    <row r="50">
      <c r="A50" s="10" t="n"/>
      <c r="B50" s="10" t="n"/>
      <c r="C50" s="10" t="n"/>
      <c r="D50" s="10" t="n"/>
      <c r="E50" s="10" t="n"/>
      <c r="F50" s="10" t="n"/>
      <c r="G50" s="11" t="n"/>
      <c r="H50" s="12" t="n"/>
      <c r="I50" s="11" t="n"/>
      <c r="J50" s="13" t="n"/>
      <c r="K50" s="13" t="n"/>
      <c r="L50" s="14">
        <f>IF($A50="","",I50-G50)</f>
        <v/>
      </c>
      <c r="M50" s="14">
        <f>IF($A50="","",I50-$C$6)</f>
        <v/>
      </c>
      <c r="N50" s="15">
        <f>IF($A50="","",IF(C50="Pós CDI",((1+((1+$C$3/100)^(1/252)-1)*J50/100)^252-1)*100,IF(C50="Selic",$C$3+J50,IF(C50="Pré",J50,IF(C50="IPCA+",((1+$C$4/100)*(1+J50/100)-1)*100,"")))))</f>
        <v/>
      </c>
      <c r="O50" s="16">
        <f>IF($A50="","",H50*(1+N50/100)^(L50/365)-Z50)</f>
        <v/>
      </c>
      <c r="P50" s="17">
        <f>IF($A50="","",IF(D50="Sim",0,IF(L50&lt;=180,0.225,IF(L50&lt;=360,0.2,IF(L50&lt;=720,0.175,0.15)))))</f>
        <v/>
      </c>
      <c r="Q50" s="16">
        <f>IF($A50="","",O50-IF(AND(D50&lt;&gt;"Sim",L50&lt;30),MAX(0,O50-H50)*INDEX('Comparador líquido'!$B$41:$B$70,MAX(1,L50)),0)-MAX(0,O50-H50-IF(AND(D50&lt;&gt;"Sim",L50&lt;30),MAX(0,O50-H50)*INDEX('Comparador líquido'!$B$41:$B$70,MAX(1,L50)),0))*P50)</f>
        <v/>
      </c>
      <c r="R50" s="16">
        <f>IF($A50="","",H50*(1+N50/100)^(MAX(0,MIN(L50,$C$6-G50))/365)-IF(K50=0,0,K50/100*IF(C50="Selic",MAX(0,1-10000/SUMIFS($H$9:$H$58,$C$9:$C$58,"Selic")),1)*IFERROR(H50*((1+N50/100)^(MAX(0,MIN(L50,$C$6-G50))/365)-1)/LN(1+N50/100),H50*MAX(0,MIN(L50,$C$6-G50))/365)))</f>
        <v/>
      </c>
      <c r="S50" s="18">
        <f>IF($A50="","",IFERROR(IF(INDEX(Objetivos!$C$5:$C$14,MATCH(F50,Objetivos!$A$5:$A$14,0))="","",INDEX(Objetivos!$C$5:$C$14,MATCH(F50,Objetivos!$A$5:$A$14,0))),""))</f>
        <v/>
      </c>
      <c r="T50" s="19">
        <f>IF($A50="","",IF(F50="","sem objetivo: preencha",IF(S50="","sem data: se for reserva, precisa de liquidez diária",IF(I50&gt;S50+31,"vence DEPOIS do objetivo: risco de vender antes",IF(I50&lt;S50-365,"vence mais de 1 ano antes: risco de reinvestir","casado com o objetivo")))))</f>
        <v/>
      </c>
      <c r="U50" s="16">
        <f>IF($A50="","",IF(E50="Sim",SUMIFS($O$9:$O$58,$B$9:$B$58,B50,$E$9:$E$58,"Sim"),""))</f>
        <v/>
      </c>
      <c r="V50" s="19">
        <f>IF($A50="","",IF(E50&lt;&gt;"Sim",IF(B50="Tesouro Nacional","Tesouro: sem FGC (risco do governo)","SEM FGC: risco do emissor"),IF(U50&gt;$C$5,"ACIMA DO FGC","dentro do limite")))</f>
        <v/>
      </c>
      <c r="W50" s="16">
        <f>IF($A50="","",IF(E50="Sim",MAX(0,U50-$C$5),""))</f>
        <v/>
      </c>
      <c r="X50" s="19">
        <f>IF($A50="","",IF(M50&lt;0,"vencido",IF(M50&lt;=90,"vence em até 90 dias","")))</f>
        <v/>
      </c>
      <c r="Y50" s="17">
        <f>IF($A50="","",H50/SUM($H$9:$H$58))</f>
        <v/>
      </c>
      <c r="Z50" s="16">
        <f>IF($A50="","",IF(K50=0,0,K50/100*IF(C50="Selic",MAX(0,1-10000/SUMIFS($H$9:$H$58,$C$9:$C$58,"Selic")),1)*IFERROR(H50*((1+N50/100)^(L50/365)-1)/LN(1+N50/100),H50*L50/365)))</f>
        <v/>
      </c>
    </row>
    <row r="51">
      <c r="A51" s="10" t="n"/>
      <c r="B51" s="10" t="n"/>
      <c r="C51" s="10" t="n"/>
      <c r="D51" s="10" t="n"/>
      <c r="E51" s="10" t="n"/>
      <c r="F51" s="10" t="n"/>
      <c r="G51" s="11" t="n"/>
      <c r="H51" s="12" t="n"/>
      <c r="I51" s="11" t="n"/>
      <c r="J51" s="13" t="n"/>
      <c r="K51" s="13" t="n"/>
      <c r="L51" s="14">
        <f>IF($A51="","",I51-G51)</f>
        <v/>
      </c>
      <c r="M51" s="14">
        <f>IF($A51="","",I51-$C$6)</f>
        <v/>
      </c>
      <c r="N51" s="15">
        <f>IF($A51="","",IF(C51="Pós CDI",((1+((1+$C$3/100)^(1/252)-1)*J51/100)^252-1)*100,IF(C51="Selic",$C$3+J51,IF(C51="Pré",J51,IF(C51="IPCA+",((1+$C$4/100)*(1+J51/100)-1)*100,"")))))</f>
        <v/>
      </c>
      <c r="O51" s="16">
        <f>IF($A51="","",H51*(1+N51/100)^(L51/365)-Z51)</f>
        <v/>
      </c>
      <c r="P51" s="17">
        <f>IF($A51="","",IF(D51="Sim",0,IF(L51&lt;=180,0.225,IF(L51&lt;=360,0.2,IF(L51&lt;=720,0.175,0.15)))))</f>
        <v/>
      </c>
      <c r="Q51" s="16">
        <f>IF($A51="","",O51-IF(AND(D51&lt;&gt;"Sim",L51&lt;30),MAX(0,O51-H51)*INDEX('Comparador líquido'!$B$41:$B$70,MAX(1,L51)),0)-MAX(0,O51-H51-IF(AND(D51&lt;&gt;"Sim",L51&lt;30),MAX(0,O51-H51)*INDEX('Comparador líquido'!$B$41:$B$70,MAX(1,L51)),0))*P51)</f>
        <v/>
      </c>
      <c r="R51" s="16">
        <f>IF($A51="","",H51*(1+N51/100)^(MAX(0,MIN(L51,$C$6-G51))/365)-IF(K51=0,0,K51/100*IF(C51="Selic",MAX(0,1-10000/SUMIFS($H$9:$H$58,$C$9:$C$58,"Selic")),1)*IFERROR(H51*((1+N51/100)^(MAX(0,MIN(L51,$C$6-G51))/365)-1)/LN(1+N51/100),H51*MAX(0,MIN(L51,$C$6-G51))/365)))</f>
        <v/>
      </c>
      <c r="S51" s="18">
        <f>IF($A51="","",IFERROR(IF(INDEX(Objetivos!$C$5:$C$14,MATCH(F51,Objetivos!$A$5:$A$14,0))="","",INDEX(Objetivos!$C$5:$C$14,MATCH(F51,Objetivos!$A$5:$A$14,0))),""))</f>
        <v/>
      </c>
      <c r="T51" s="19">
        <f>IF($A51="","",IF(F51="","sem objetivo: preencha",IF(S51="","sem data: se for reserva, precisa de liquidez diária",IF(I51&gt;S51+31,"vence DEPOIS do objetivo: risco de vender antes",IF(I51&lt;S51-365,"vence mais de 1 ano antes: risco de reinvestir","casado com o objetivo")))))</f>
        <v/>
      </c>
      <c r="U51" s="16">
        <f>IF($A51="","",IF(E51="Sim",SUMIFS($O$9:$O$58,$B$9:$B$58,B51,$E$9:$E$58,"Sim"),""))</f>
        <v/>
      </c>
      <c r="V51" s="19">
        <f>IF($A51="","",IF(E51&lt;&gt;"Sim",IF(B51="Tesouro Nacional","Tesouro: sem FGC (risco do governo)","SEM FGC: risco do emissor"),IF(U51&gt;$C$5,"ACIMA DO FGC","dentro do limite")))</f>
        <v/>
      </c>
      <c r="W51" s="16">
        <f>IF($A51="","",IF(E51="Sim",MAX(0,U51-$C$5),""))</f>
        <v/>
      </c>
      <c r="X51" s="19">
        <f>IF($A51="","",IF(M51&lt;0,"vencido",IF(M51&lt;=90,"vence em até 90 dias","")))</f>
        <v/>
      </c>
      <c r="Y51" s="17">
        <f>IF($A51="","",H51/SUM($H$9:$H$58))</f>
        <v/>
      </c>
      <c r="Z51" s="16">
        <f>IF($A51="","",IF(K51=0,0,K51/100*IF(C51="Selic",MAX(0,1-10000/SUMIFS($H$9:$H$58,$C$9:$C$58,"Selic")),1)*IFERROR(H51*((1+N51/100)^(L51/365)-1)/LN(1+N51/100),H51*L51/365)))</f>
        <v/>
      </c>
    </row>
    <row r="52">
      <c r="A52" s="10" t="n"/>
      <c r="B52" s="10" t="n"/>
      <c r="C52" s="10" t="n"/>
      <c r="D52" s="10" t="n"/>
      <c r="E52" s="10" t="n"/>
      <c r="F52" s="10" t="n"/>
      <c r="G52" s="11" t="n"/>
      <c r="H52" s="12" t="n"/>
      <c r="I52" s="11" t="n"/>
      <c r="J52" s="13" t="n"/>
      <c r="K52" s="13" t="n"/>
      <c r="L52" s="14">
        <f>IF($A52="","",I52-G52)</f>
        <v/>
      </c>
      <c r="M52" s="14">
        <f>IF($A52="","",I52-$C$6)</f>
        <v/>
      </c>
      <c r="N52" s="15">
        <f>IF($A52="","",IF(C52="Pós CDI",((1+((1+$C$3/100)^(1/252)-1)*J52/100)^252-1)*100,IF(C52="Selic",$C$3+J52,IF(C52="Pré",J52,IF(C52="IPCA+",((1+$C$4/100)*(1+J52/100)-1)*100,"")))))</f>
        <v/>
      </c>
      <c r="O52" s="16">
        <f>IF($A52="","",H52*(1+N52/100)^(L52/365)-Z52)</f>
        <v/>
      </c>
      <c r="P52" s="17">
        <f>IF($A52="","",IF(D52="Sim",0,IF(L52&lt;=180,0.225,IF(L52&lt;=360,0.2,IF(L52&lt;=720,0.175,0.15)))))</f>
        <v/>
      </c>
      <c r="Q52" s="16">
        <f>IF($A52="","",O52-IF(AND(D52&lt;&gt;"Sim",L52&lt;30),MAX(0,O52-H52)*INDEX('Comparador líquido'!$B$41:$B$70,MAX(1,L52)),0)-MAX(0,O52-H52-IF(AND(D52&lt;&gt;"Sim",L52&lt;30),MAX(0,O52-H52)*INDEX('Comparador líquido'!$B$41:$B$70,MAX(1,L52)),0))*P52)</f>
        <v/>
      </c>
      <c r="R52" s="16">
        <f>IF($A52="","",H52*(1+N52/100)^(MAX(0,MIN(L52,$C$6-G52))/365)-IF(K52=0,0,K52/100*IF(C52="Selic",MAX(0,1-10000/SUMIFS($H$9:$H$58,$C$9:$C$58,"Selic")),1)*IFERROR(H52*((1+N52/100)^(MAX(0,MIN(L52,$C$6-G52))/365)-1)/LN(1+N52/100),H52*MAX(0,MIN(L52,$C$6-G52))/365)))</f>
        <v/>
      </c>
      <c r="S52" s="18">
        <f>IF($A52="","",IFERROR(IF(INDEX(Objetivos!$C$5:$C$14,MATCH(F52,Objetivos!$A$5:$A$14,0))="","",INDEX(Objetivos!$C$5:$C$14,MATCH(F52,Objetivos!$A$5:$A$14,0))),""))</f>
        <v/>
      </c>
      <c r="T52" s="19">
        <f>IF($A52="","",IF(F52="","sem objetivo: preencha",IF(S52="","sem data: se for reserva, precisa de liquidez diária",IF(I52&gt;S52+31,"vence DEPOIS do objetivo: risco de vender antes",IF(I52&lt;S52-365,"vence mais de 1 ano antes: risco de reinvestir","casado com o objetivo")))))</f>
        <v/>
      </c>
      <c r="U52" s="16">
        <f>IF($A52="","",IF(E52="Sim",SUMIFS($O$9:$O$58,$B$9:$B$58,B52,$E$9:$E$58,"Sim"),""))</f>
        <v/>
      </c>
      <c r="V52" s="19">
        <f>IF($A52="","",IF(E52&lt;&gt;"Sim",IF(B52="Tesouro Nacional","Tesouro: sem FGC (risco do governo)","SEM FGC: risco do emissor"),IF(U52&gt;$C$5,"ACIMA DO FGC","dentro do limite")))</f>
        <v/>
      </c>
      <c r="W52" s="16">
        <f>IF($A52="","",IF(E52="Sim",MAX(0,U52-$C$5),""))</f>
        <v/>
      </c>
      <c r="X52" s="19">
        <f>IF($A52="","",IF(M52&lt;0,"vencido",IF(M52&lt;=90,"vence em até 90 dias","")))</f>
        <v/>
      </c>
      <c r="Y52" s="17">
        <f>IF($A52="","",H52/SUM($H$9:$H$58))</f>
        <v/>
      </c>
      <c r="Z52" s="16">
        <f>IF($A52="","",IF(K52=0,0,K52/100*IF(C52="Selic",MAX(0,1-10000/SUMIFS($H$9:$H$58,$C$9:$C$58,"Selic")),1)*IFERROR(H52*((1+N52/100)^(L52/365)-1)/LN(1+N52/100),H52*L52/365)))</f>
        <v/>
      </c>
    </row>
    <row r="53">
      <c r="A53" s="10" t="n"/>
      <c r="B53" s="10" t="n"/>
      <c r="C53" s="10" t="n"/>
      <c r="D53" s="10" t="n"/>
      <c r="E53" s="10" t="n"/>
      <c r="F53" s="10" t="n"/>
      <c r="G53" s="11" t="n"/>
      <c r="H53" s="12" t="n"/>
      <c r="I53" s="11" t="n"/>
      <c r="J53" s="13" t="n"/>
      <c r="K53" s="13" t="n"/>
      <c r="L53" s="14">
        <f>IF($A53="","",I53-G53)</f>
        <v/>
      </c>
      <c r="M53" s="14">
        <f>IF($A53="","",I53-$C$6)</f>
        <v/>
      </c>
      <c r="N53" s="15">
        <f>IF($A53="","",IF(C53="Pós CDI",((1+((1+$C$3/100)^(1/252)-1)*J53/100)^252-1)*100,IF(C53="Selic",$C$3+J53,IF(C53="Pré",J53,IF(C53="IPCA+",((1+$C$4/100)*(1+J53/100)-1)*100,"")))))</f>
        <v/>
      </c>
      <c r="O53" s="16">
        <f>IF($A53="","",H53*(1+N53/100)^(L53/365)-Z53)</f>
        <v/>
      </c>
      <c r="P53" s="17">
        <f>IF($A53="","",IF(D53="Sim",0,IF(L53&lt;=180,0.225,IF(L53&lt;=360,0.2,IF(L53&lt;=720,0.175,0.15)))))</f>
        <v/>
      </c>
      <c r="Q53" s="16">
        <f>IF($A53="","",O53-IF(AND(D53&lt;&gt;"Sim",L53&lt;30),MAX(0,O53-H53)*INDEX('Comparador líquido'!$B$41:$B$70,MAX(1,L53)),0)-MAX(0,O53-H53-IF(AND(D53&lt;&gt;"Sim",L53&lt;30),MAX(0,O53-H53)*INDEX('Comparador líquido'!$B$41:$B$70,MAX(1,L53)),0))*P53)</f>
        <v/>
      </c>
      <c r="R53" s="16">
        <f>IF($A53="","",H53*(1+N53/100)^(MAX(0,MIN(L53,$C$6-G53))/365)-IF(K53=0,0,K53/100*IF(C53="Selic",MAX(0,1-10000/SUMIFS($H$9:$H$58,$C$9:$C$58,"Selic")),1)*IFERROR(H53*((1+N53/100)^(MAX(0,MIN(L53,$C$6-G53))/365)-1)/LN(1+N53/100),H53*MAX(0,MIN(L53,$C$6-G53))/365)))</f>
        <v/>
      </c>
      <c r="S53" s="18">
        <f>IF($A53="","",IFERROR(IF(INDEX(Objetivos!$C$5:$C$14,MATCH(F53,Objetivos!$A$5:$A$14,0))="","",INDEX(Objetivos!$C$5:$C$14,MATCH(F53,Objetivos!$A$5:$A$14,0))),""))</f>
        <v/>
      </c>
      <c r="T53" s="19">
        <f>IF($A53="","",IF(F53="","sem objetivo: preencha",IF(S53="","sem data: se for reserva, precisa de liquidez diária",IF(I53&gt;S53+31,"vence DEPOIS do objetivo: risco de vender antes",IF(I53&lt;S53-365,"vence mais de 1 ano antes: risco de reinvestir","casado com o objetivo")))))</f>
        <v/>
      </c>
      <c r="U53" s="16">
        <f>IF($A53="","",IF(E53="Sim",SUMIFS($O$9:$O$58,$B$9:$B$58,B53,$E$9:$E$58,"Sim"),""))</f>
        <v/>
      </c>
      <c r="V53" s="19">
        <f>IF($A53="","",IF(E53&lt;&gt;"Sim",IF(B53="Tesouro Nacional","Tesouro: sem FGC (risco do governo)","SEM FGC: risco do emissor"),IF(U53&gt;$C$5,"ACIMA DO FGC","dentro do limite")))</f>
        <v/>
      </c>
      <c r="W53" s="16">
        <f>IF($A53="","",IF(E53="Sim",MAX(0,U53-$C$5),""))</f>
        <v/>
      </c>
      <c r="X53" s="19">
        <f>IF($A53="","",IF(M53&lt;0,"vencido",IF(M53&lt;=90,"vence em até 90 dias","")))</f>
        <v/>
      </c>
      <c r="Y53" s="17">
        <f>IF($A53="","",H53/SUM($H$9:$H$58))</f>
        <v/>
      </c>
      <c r="Z53" s="16">
        <f>IF($A53="","",IF(K53=0,0,K53/100*IF(C53="Selic",MAX(0,1-10000/SUMIFS($H$9:$H$58,$C$9:$C$58,"Selic")),1)*IFERROR(H53*((1+N53/100)^(L53/365)-1)/LN(1+N53/100),H53*L53/365)))</f>
        <v/>
      </c>
    </row>
    <row r="54">
      <c r="A54" s="10" t="n"/>
      <c r="B54" s="10" t="n"/>
      <c r="C54" s="10" t="n"/>
      <c r="D54" s="10" t="n"/>
      <c r="E54" s="10" t="n"/>
      <c r="F54" s="10" t="n"/>
      <c r="G54" s="11" t="n"/>
      <c r="H54" s="12" t="n"/>
      <c r="I54" s="11" t="n"/>
      <c r="J54" s="13" t="n"/>
      <c r="K54" s="13" t="n"/>
      <c r="L54" s="14">
        <f>IF($A54="","",I54-G54)</f>
        <v/>
      </c>
      <c r="M54" s="14">
        <f>IF($A54="","",I54-$C$6)</f>
        <v/>
      </c>
      <c r="N54" s="15">
        <f>IF($A54="","",IF(C54="Pós CDI",((1+((1+$C$3/100)^(1/252)-1)*J54/100)^252-1)*100,IF(C54="Selic",$C$3+J54,IF(C54="Pré",J54,IF(C54="IPCA+",((1+$C$4/100)*(1+J54/100)-1)*100,"")))))</f>
        <v/>
      </c>
      <c r="O54" s="16">
        <f>IF($A54="","",H54*(1+N54/100)^(L54/365)-Z54)</f>
        <v/>
      </c>
      <c r="P54" s="17">
        <f>IF($A54="","",IF(D54="Sim",0,IF(L54&lt;=180,0.225,IF(L54&lt;=360,0.2,IF(L54&lt;=720,0.175,0.15)))))</f>
        <v/>
      </c>
      <c r="Q54" s="16">
        <f>IF($A54="","",O54-IF(AND(D54&lt;&gt;"Sim",L54&lt;30),MAX(0,O54-H54)*INDEX('Comparador líquido'!$B$41:$B$70,MAX(1,L54)),0)-MAX(0,O54-H54-IF(AND(D54&lt;&gt;"Sim",L54&lt;30),MAX(0,O54-H54)*INDEX('Comparador líquido'!$B$41:$B$70,MAX(1,L54)),0))*P54)</f>
        <v/>
      </c>
      <c r="R54" s="16">
        <f>IF($A54="","",H54*(1+N54/100)^(MAX(0,MIN(L54,$C$6-G54))/365)-IF(K54=0,0,K54/100*IF(C54="Selic",MAX(0,1-10000/SUMIFS($H$9:$H$58,$C$9:$C$58,"Selic")),1)*IFERROR(H54*((1+N54/100)^(MAX(0,MIN(L54,$C$6-G54))/365)-1)/LN(1+N54/100),H54*MAX(0,MIN(L54,$C$6-G54))/365)))</f>
        <v/>
      </c>
      <c r="S54" s="18">
        <f>IF($A54="","",IFERROR(IF(INDEX(Objetivos!$C$5:$C$14,MATCH(F54,Objetivos!$A$5:$A$14,0))="","",INDEX(Objetivos!$C$5:$C$14,MATCH(F54,Objetivos!$A$5:$A$14,0))),""))</f>
        <v/>
      </c>
      <c r="T54" s="19">
        <f>IF($A54="","",IF(F54="","sem objetivo: preencha",IF(S54="","sem data: se for reserva, precisa de liquidez diária",IF(I54&gt;S54+31,"vence DEPOIS do objetivo: risco de vender antes",IF(I54&lt;S54-365,"vence mais de 1 ano antes: risco de reinvestir","casado com o objetivo")))))</f>
        <v/>
      </c>
      <c r="U54" s="16">
        <f>IF($A54="","",IF(E54="Sim",SUMIFS($O$9:$O$58,$B$9:$B$58,B54,$E$9:$E$58,"Sim"),""))</f>
        <v/>
      </c>
      <c r="V54" s="19">
        <f>IF($A54="","",IF(E54&lt;&gt;"Sim",IF(B54="Tesouro Nacional","Tesouro: sem FGC (risco do governo)","SEM FGC: risco do emissor"),IF(U54&gt;$C$5,"ACIMA DO FGC","dentro do limite")))</f>
        <v/>
      </c>
      <c r="W54" s="16">
        <f>IF($A54="","",IF(E54="Sim",MAX(0,U54-$C$5),""))</f>
        <v/>
      </c>
      <c r="X54" s="19">
        <f>IF($A54="","",IF(M54&lt;0,"vencido",IF(M54&lt;=90,"vence em até 90 dias","")))</f>
        <v/>
      </c>
      <c r="Y54" s="17">
        <f>IF($A54="","",H54/SUM($H$9:$H$58))</f>
        <v/>
      </c>
      <c r="Z54" s="16">
        <f>IF($A54="","",IF(K54=0,0,K54/100*IF(C54="Selic",MAX(0,1-10000/SUMIFS($H$9:$H$58,$C$9:$C$58,"Selic")),1)*IFERROR(H54*((1+N54/100)^(L54/365)-1)/LN(1+N54/100),H54*L54/365)))</f>
        <v/>
      </c>
    </row>
    <row r="55">
      <c r="A55" s="10" t="n"/>
      <c r="B55" s="10" t="n"/>
      <c r="C55" s="10" t="n"/>
      <c r="D55" s="10" t="n"/>
      <c r="E55" s="10" t="n"/>
      <c r="F55" s="10" t="n"/>
      <c r="G55" s="11" t="n"/>
      <c r="H55" s="12" t="n"/>
      <c r="I55" s="11" t="n"/>
      <c r="J55" s="13" t="n"/>
      <c r="K55" s="13" t="n"/>
      <c r="L55" s="14">
        <f>IF($A55="","",I55-G55)</f>
        <v/>
      </c>
      <c r="M55" s="14">
        <f>IF($A55="","",I55-$C$6)</f>
        <v/>
      </c>
      <c r="N55" s="15">
        <f>IF($A55="","",IF(C55="Pós CDI",((1+((1+$C$3/100)^(1/252)-1)*J55/100)^252-1)*100,IF(C55="Selic",$C$3+J55,IF(C55="Pré",J55,IF(C55="IPCA+",((1+$C$4/100)*(1+J55/100)-1)*100,"")))))</f>
        <v/>
      </c>
      <c r="O55" s="16">
        <f>IF($A55="","",H55*(1+N55/100)^(L55/365)-Z55)</f>
        <v/>
      </c>
      <c r="P55" s="17">
        <f>IF($A55="","",IF(D55="Sim",0,IF(L55&lt;=180,0.225,IF(L55&lt;=360,0.2,IF(L55&lt;=720,0.175,0.15)))))</f>
        <v/>
      </c>
      <c r="Q55" s="16">
        <f>IF($A55="","",O55-IF(AND(D55&lt;&gt;"Sim",L55&lt;30),MAX(0,O55-H55)*INDEX('Comparador líquido'!$B$41:$B$70,MAX(1,L55)),0)-MAX(0,O55-H55-IF(AND(D55&lt;&gt;"Sim",L55&lt;30),MAX(0,O55-H55)*INDEX('Comparador líquido'!$B$41:$B$70,MAX(1,L55)),0))*P55)</f>
        <v/>
      </c>
      <c r="R55" s="16">
        <f>IF($A55="","",H55*(1+N55/100)^(MAX(0,MIN(L55,$C$6-G55))/365)-IF(K55=0,0,K55/100*IF(C55="Selic",MAX(0,1-10000/SUMIFS($H$9:$H$58,$C$9:$C$58,"Selic")),1)*IFERROR(H55*((1+N55/100)^(MAX(0,MIN(L55,$C$6-G55))/365)-1)/LN(1+N55/100),H55*MAX(0,MIN(L55,$C$6-G55))/365)))</f>
        <v/>
      </c>
      <c r="S55" s="18">
        <f>IF($A55="","",IFERROR(IF(INDEX(Objetivos!$C$5:$C$14,MATCH(F55,Objetivos!$A$5:$A$14,0))="","",INDEX(Objetivos!$C$5:$C$14,MATCH(F55,Objetivos!$A$5:$A$14,0))),""))</f>
        <v/>
      </c>
      <c r="T55" s="19">
        <f>IF($A55="","",IF(F55="","sem objetivo: preencha",IF(S55="","sem data: se for reserva, precisa de liquidez diária",IF(I55&gt;S55+31,"vence DEPOIS do objetivo: risco de vender antes",IF(I55&lt;S55-365,"vence mais de 1 ano antes: risco de reinvestir","casado com o objetivo")))))</f>
        <v/>
      </c>
      <c r="U55" s="16">
        <f>IF($A55="","",IF(E55="Sim",SUMIFS($O$9:$O$58,$B$9:$B$58,B55,$E$9:$E$58,"Sim"),""))</f>
        <v/>
      </c>
      <c r="V55" s="19">
        <f>IF($A55="","",IF(E55&lt;&gt;"Sim",IF(B55="Tesouro Nacional","Tesouro: sem FGC (risco do governo)","SEM FGC: risco do emissor"),IF(U55&gt;$C$5,"ACIMA DO FGC","dentro do limite")))</f>
        <v/>
      </c>
      <c r="W55" s="16">
        <f>IF($A55="","",IF(E55="Sim",MAX(0,U55-$C$5),""))</f>
        <v/>
      </c>
      <c r="X55" s="19">
        <f>IF($A55="","",IF(M55&lt;0,"vencido",IF(M55&lt;=90,"vence em até 90 dias","")))</f>
        <v/>
      </c>
      <c r="Y55" s="17">
        <f>IF($A55="","",H55/SUM($H$9:$H$58))</f>
        <v/>
      </c>
      <c r="Z55" s="16">
        <f>IF($A55="","",IF(K55=0,0,K55/100*IF(C55="Selic",MAX(0,1-10000/SUMIFS($H$9:$H$58,$C$9:$C$58,"Selic")),1)*IFERROR(H55*((1+N55/100)^(L55/365)-1)/LN(1+N55/100),H55*L55/365)))</f>
        <v/>
      </c>
    </row>
    <row r="56">
      <c r="A56" s="10" t="n"/>
      <c r="B56" s="10" t="n"/>
      <c r="C56" s="10" t="n"/>
      <c r="D56" s="10" t="n"/>
      <c r="E56" s="10" t="n"/>
      <c r="F56" s="10" t="n"/>
      <c r="G56" s="11" t="n"/>
      <c r="H56" s="12" t="n"/>
      <c r="I56" s="11" t="n"/>
      <c r="J56" s="13" t="n"/>
      <c r="K56" s="13" t="n"/>
      <c r="L56" s="14">
        <f>IF($A56="","",I56-G56)</f>
        <v/>
      </c>
      <c r="M56" s="14">
        <f>IF($A56="","",I56-$C$6)</f>
        <v/>
      </c>
      <c r="N56" s="15">
        <f>IF($A56="","",IF(C56="Pós CDI",((1+((1+$C$3/100)^(1/252)-1)*J56/100)^252-1)*100,IF(C56="Selic",$C$3+J56,IF(C56="Pré",J56,IF(C56="IPCA+",((1+$C$4/100)*(1+J56/100)-1)*100,"")))))</f>
        <v/>
      </c>
      <c r="O56" s="16">
        <f>IF($A56="","",H56*(1+N56/100)^(L56/365)-Z56)</f>
        <v/>
      </c>
      <c r="P56" s="17">
        <f>IF($A56="","",IF(D56="Sim",0,IF(L56&lt;=180,0.225,IF(L56&lt;=360,0.2,IF(L56&lt;=720,0.175,0.15)))))</f>
        <v/>
      </c>
      <c r="Q56" s="16">
        <f>IF($A56="","",O56-IF(AND(D56&lt;&gt;"Sim",L56&lt;30),MAX(0,O56-H56)*INDEX('Comparador líquido'!$B$41:$B$70,MAX(1,L56)),0)-MAX(0,O56-H56-IF(AND(D56&lt;&gt;"Sim",L56&lt;30),MAX(0,O56-H56)*INDEX('Comparador líquido'!$B$41:$B$70,MAX(1,L56)),0))*P56)</f>
        <v/>
      </c>
      <c r="R56" s="16">
        <f>IF($A56="","",H56*(1+N56/100)^(MAX(0,MIN(L56,$C$6-G56))/365)-IF(K56=0,0,K56/100*IF(C56="Selic",MAX(0,1-10000/SUMIFS($H$9:$H$58,$C$9:$C$58,"Selic")),1)*IFERROR(H56*((1+N56/100)^(MAX(0,MIN(L56,$C$6-G56))/365)-1)/LN(1+N56/100),H56*MAX(0,MIN(L56,$C$6-G56))/365)))</f>
        <v/>
      </c>
      <c r="S56" s="18">
        <f>IF($A56="","",IFERROR(IF(INDEX(Objetivos!$C$5:$C$14,MATCH(F56,Objetivos!$A$5:$A$14,0))="","",INDEX(Objetivos!$C$5:$C$14,MATCH(F56,Objetivos!$A$5:$A$14,0))),""))</f>
        <v/>
      </c>
      <c r="T56" s="19">
        <f>IF($A56="","",IF(F56="","sem objetivo: preencha",IF(S56="","sem data: se for reserva, precisa de liquidez diária",IF(I56&gt;S56+31,"vence DEPOIS do objetivo: risco de vender antes",IF(I56&lt;S56-365,"vence mais de 1 ano antes: risco de reinvestir","casado com o objetivo")))))</f>
        <v/>
      </c>
      <c r="U56" s="16">
        <f>IF($A56="","",IF(E56="Sim",SUMIFS($O$9:$O$58,$B$9:$B$58,B56,$E$9:$E$58,"Sim"),""))</f>
        <v/>
      </c>
      <c r="V56" s="19">
        <f>IF($A56="","",IF(E56&lt;&gt;"Sim",IF(B56="Tesouro Nacional","Tesouro: sem FGC (risco do governo)","SEM FGC: risco do emissor"),IF(U56&gt;$C$5,"ACIMA DO FGC","dentro do limite")))</f>
        <v/>
      </c>
      <c r="W56" s="16">
        <f>IF($A56="","",IF(E56="Sim",MAX(0,U56-$C$5),""))</f>
        <v/>
      </c>
      <c r="X56" s="19">
        <f>IF($A56="","",IF(M56&lt;0,"vencido",IF(M56&lt;=90,"vence em até 90 dias","")))</f>
        <v/>
      </c>
      <c r="Y56" s="17">
        <f>IF($A56="","",H56/SUM($H$9:$H$58))</f>
        <v/>
      </c>
      <c r="Z56" s="16">
        <f>IF($A56="","",IF(K56=0,0,K56/100*IF(C56="Selic",MAX(0,1-10000/SUMIFS($H$9:$H$58,$C$9:$C$58,"Selic")),1)*IFERROR(H56*((1+N56/100)^(L56/365)-1)/LN(1+N56/100),H56*L56/365)))</f>
        <v/>
      </c>
    </row>
    <row r="57">
      <c r="A57" s="10" t="n"/>
      <c r="B57" s="10" t="n"/>
      <c r="C57" s="10" t="n"/>
      <c r="D57" s="10" t="n"/>
      <c r="E57" s="10" t="n"/>
      <c r="F57" s="10" t="n"/>
      <c r="G57" s="11" t="n"/>
      <c r="H57" s="12" t="n"/>
      <c r="I57" s="11" t="n"/>
      <c r="J57" s="13" t="n"/>
      <c r="K57" s="13" t="n"/>
      <c r="L57" s="14">
        <f>IF($A57="","",I57-G57)</f>
        <v/>
      </c>
      <c r="M57" s="14">
        <f>IF($A57="","",I57-$C$6)</f>
        <v/>
      </c>
      <c r="N57" s="15">
        <f>IF($A57="","",IF(C57="Pós CDI",((1+((1+$C$3/100)^(1/252)-1)*J57/100)^252-1)*100,IF(C57="Selic",$C$3+J57,IF(C57="Pré",J57,IF(C57="IPCA+",((1+$C$4/100)*(1+J57/100)-1)*100,"")))))</f>
        <v/>
      </c>
      <c r="O57" s="16">
        <f>IF($A57="","",H57*(1+N57/100)^(L57/365)-Z57)</f>
        <v/>
      </c>
      <c r="P57" s="17">
        <f>IF($A57="","",IF(D57="Sim",0,IF(L57&lt;=180,0.225,IF(L57&lt;=360,0.2,IF(L57&lt;=720,0.175,0.15)))))</f>
        <v/>
      </c>
      <c r="Q57" s="16">
        <f>IF($A57="","",O57-IF(AND(D57&lt;&gt;"Sim",L57&lt;30),MAX(0,O57-H57)*INDEX('Comparador líquido'!$B$41:$B$70,MAX(1,L57)),0)-MAX(0,O57-H57-IF(AND(D57&lt;&gt;"Sim",L57&lt;30),MAX(0,O57-H57)*INDEX('Comparador líquido'!$B$41:$B$70,MAX(1,L57)),0))*P57)</f>
        <v/>
      </c>
      <c r="R57" s="16">
        <f>IF($A57="","",H57*(1+N57/100)^(MAX(0,MIN(L57,$C$6-G57))/365)-IF(K57=0,0,K57/100*IF(C57="Selic",MAX(0,1-10000/SUMIFS($H$9:$H$58,$C$9:$C$58,"Selic")),1)*IFERROR(H57*((1+N57/100)^(MAX(0,MIN(L57,$C$6-G57))/365)-1)/LN(1+N57/100),H57*MAX(0,MIN(L57,$C$6-G57))/365)))</f>
        <v/>
      </c>
      <c r="S57" s="18">
        <f>IF($A57="","",IFERROR(IF(INDEX(Objetivos!$C$5:$C$14,MATCH(F57,Objetivos!$A$5:$A$14,0))="","",INDEX(Objetivos!$C$5:$C$14,MATCH(F57,Objetivos!$A$5:$A$14,0))),""))</f>
        <v/>
      </c>
      <c r="T57" s="19">
        <f>IF($A57="","",IF(F57="","sem objetivo: preencha",IF(S57="","sem data: se for reserva, precisa de liquidez diária",IF(I57&gt;S57+31,"vence DEPOIS do objetivo: risco de vender antes",IF(I57&lt;S57-365,"vence mais de 1 ano antes: risco de reinvestir","casado com o objetivo")))))</f>
        <v/>
      </c>
      <c r="U57" s="16">
        <f>IF($A57="","",IF(E57="Sim",SUMIFS($O$9:$O$58,$B$9:$B$58,B57,$E$9:$E$58,"Sim"),""))</f>
        <v/>
      </c>
      <c r="V57" s="19">
        <f>IF($A57="","",IF(E57&lt;&gt;"Sim",IF(B57="Tesouro Nacional","Tesouro: sem FGC (risco do governo)","SEM FGC: risco do emissor"),IF(U57&gt;$C$5,"ACIMA DO FGC","dentro do limite")))</f>
        <v/>
      </c>
      <c r="W57" s="16">
        <f>IF($A57="","",IF(E57="Sim",MAX(0,U57-$C$5),""))</f>
        <v/>
      </c>
      <c r="X57" s="19">
        <f>IF($A57="","",IF(M57&lt;0,"vencido",IF(M57&lt;=90,"vence em até 90 dias","")))</f>
        <v/>
      </c>
      <c r="Y57" s="17">
        <f>IF($A57="","",H57/SUM($H$9:$H$58))</f>
        <v/>
      </c>
      <c r="Z57" s="16">
        <f>IF($A57="","",IF(K57=0,0,K57/100*IF(C57="Selic",MAX(0,1-10000/SUMIFS($H$9:$H$58,$C$9:$C$58,"Selic")),1)*IFERROR(H57*((1+N57/100)^(L57/365)-1)/LN(1+N57/100),H57*L57/365)))</f>
        <v/>
      </c>
    </row>
    <row r="58">
      <c r="A58" s="10" t="n"/>
      <c r="B58" s="10" t="n"/>
      <c r="C58" s="10" t="n"/>
      <c r="D58" s="10" t="n"/>
      <c r="E58" s="10" t="n"/>
      <c r="F58" s="10" t="n"/>
      <c r="G58" s="11" t="n"/>
      <c r="H58" s="12" t="n"/>
      <c r="I58" s="11" t="n"/>
      <c r="J58" s="13" t="n"/>
      <c r="K58" s="13" t="n"/>
      <c r="L58" s="14">
        <f>IF($A58="","",I58-G58)</f>
        <v/>
      </c>
      <c r="M58" s="14">
        <f>IF($A58="","",I58-$C$6)</f>
        <v/>
      </c>
      <c r="N58" s="15">
        <f>IF($A58="","",IF(C58="Pós CDI",((1+((1+$C$3/100)^(1/252)-1)*J58/100)^252-1)*100,IF(C58="Selic",$C$3+J58,IF(C58="Pré",J58,IF(C58="IPCA+",((1+$C$4/100)*(1+J58/100)-1)*100,"")))))</f>
        <v/>
      </c>
      <c r="O58" s="16">
        <f>IF($A58="","",H58*(1+N58/100)^(L58/365)-Z58)</f>
        <v/>
      </c>
      <c r="P58" s="17">
        <f>IF($A58="","",IF(D58="Sim",0,IF(L58&lt;=180,0.225,IF(L58&lt;=360,0.2,IF(L58&lt;=720,0.175,0.15)))))</f>
        <v/>
      </c>
      <c r="Q58" s="16">
        <f>IF($A58="","",O58-IF(AND(D58&lt;&gt;"Sim",L58&lt;30),MAX(0,O58-H58)*INDEX('Comparador líquido'!$B$41:$B$70,MAX(1,L58)),0)-MAX(0,O58-H58-IF(AND(D58&lt;&gt;"Sim",L58&lt;30),MAX(0,O58-H58)*INDEX('Comparador líquido'!$B$41:$B$70,MAX(1,L58)),0))*P58)</f>
        <v/>
      </c>
      <c r="R58" s="16">
        <f>IF($A58="","",H58*(1+N58/100)^(MAX(0,MIN(L58,$C$6-G58))/365)-IF(K58=0,0,K58/100*IF(C58="Selic",MAX(0,1-10000/SUMIFS($H$9:$H$58,$C$9:$C$58,"Selic")),1)*IFERROR(H58*((1+N58/100)^(MAX(0,MIN(L58,$C$6-G58))/365)-1)/LN(1+N58/100),H58*MAX(0,MIN(L58,$C$6-G58))/365)))</f>
        <v/>
      </c>
      <c r="S58" s="18">
        <f>IF($A58="","",IFERROR(IF(INDEX(Objetivos!$C$5:$C$14,MATCH(F58,Objetivos!$A$5:$A$14,0))="","",INDEX(Objetivos!$C$5:$C$14,MATCH(F58,Objetivos!$A$5:$A$14,0))),""))</f>
        <v/>
      </c>
      <c r="T58" s="19">
        <f>IF($A58="","",IF(F58="","sem objetivo: preencha",IF(S58="","sem data: se for reserva, precisa de liquidez diária",IF(I58&gt;S58+31,"vence DEPOIS do objetivo: risco de vender antes",IF(I58&lt;S58-365,"vence mais de 1 ano antes: risco de reinvestir","casado com o objetivo")))))</f>
        <v/>
      </c>
      <c r="U58" s="16">
        <f>IF($A58="","",IF(E58="Sim",SUMIFS($O$9:$O$58,$B$9:$B$58,B58,$E$9:$E$58,"Sim"),""))</f>
        <v/>
      </c>
      <c r="V58" s="19">
        <f>IF($A58="","",IF(E58&lt;&gt;"Sim",IF(B58="Tesouro Nacional","Tesouro: sem FGC (risco do governo)","SEM FGC: risco do emissor"),IF(U58&gt;$C$5,"ACIMA DO FGC","dentro do limite")))</f>
        <v/>
      </c>
      <c r="W58" s="16">
        <f>IF($A58="","",IF(E58="Sim",MAX(0,U58-$C$5),""))</f>
        <v/>
      </c>
      <c r="X58" s="19">
        <f>IF($A58="","",IF(M58&lt;0,"vencido",IF(M58&lt;=90,"vence em até 90 dias","")))</f>
        <v/>
      </c>
      <c r="Y58" s="17">
        <f>IF($A58="","",H58/SUM($H$9:$H$58))</f>
        <v/>
      </c>
      <c r="Z58" s="16">
        <f>IF($A58="","",IF(K58=0,0,K58/100*IF(C58="Selic",MAX(0,1-10000/SUMIFS($H$9:$H$58,$C$9:$C$58,"Selic")),1)*IFERROR(H58*((1+N58/100)^(L58/365)-1)/LN(1+N58/100),H58*L58/365)))</f>
        <v/>
      </c>
    </row>
  </sheetData>
  <conditionalFormatting sqref="V9:W58">
    <cfRule type="expression" priority="1" dxfId="0">
      <formula>$V9="ACIMA DO FGC"</formula>
    </cfRule>
  </conditionalFormatting>
  <conditionalFormatting sqref="T9:T58">
    <cfRule type="expression" priority="2" dxfId="1">
      <formula>AND($T9&lt;&gt;"",$T9&lt;&gt;"casado com o objetivo")</formula>
    </cfRule>
  </conditionalFormatting>
  <conditionalFormatting sqref="X9:X58">
    <cfRule type="expression" priority="3" dxfId="1">
      <formula>$X9&lt;&gt;""</formula>
    </cfRule>
  </conditionalFormatting>
  <dataValidations count="3">
    <dataValidation sqref="C9:C58" showDropDown="0" showInputMessage="0" showErrorMessage="0" allowBlank="1" type="list">
      <formula1>"Pós CDI,Selic,Pré,IPCA+"</formula1>
    </dataValidation>
    <dataValidation sqref="D9:E58" showDropDown="0" showInputMessage="0" showErrorMessage="0" allowBlank="1" type="list">
      <formula1>"Sim,Não"</formula1>
    </dataValidation>
    <dataValidation sqref="F9:F58" showDropDown="0" showInputMessage="0" showErrorMessage="0" allowBlank="1" type="list">
      <formula1>=Objetivos!$A$5:$A$14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4" customWidth="1" min="2" max="2"/>
    <col width="13" customWidth="1" min="3" max="3"/>
    <col width="10" customWidth="1" min="4" max="4"/>
    <col width="12" customWidth="1" min="5" max="5"/>
    <col width="34" customWidth="1" min="6" max="6"/>
    <col width="34" customWidth="1" min="7" max="7"/>
    <col width="9" customWidth="1" min="8" max="8"/>
    <col width="14" customWidth="1" min="9" max="9"/>
    <col width="14" customWidth="1" min="10" max="10"/>
    <col width="14" customWidth="1" min="11" max="11"/>
    <col width="28" customWidth="1" min="12" max="12"/>
  </cols>
  <sheetData>
    <row r="1">
      <c r="A1" s="1" t="inlineStr">
        <is>
          <t>A ficha do diagnóstico: um objetivo por linha</t>
        </is>
      </c>
    </row>
    <row r="2">
      <c r="A2" s="2" t="inlineStr">
        <is>
          <t>A mesma ficha da aula 'Diagnóstico' (módulo 0). O nome do objetivo (coluna A) é o que aparece na lista da coluna Objetivo da aba Posições. Deixe a data em branco para a reserva.</t>
        </is>
      </c>
    </row>
    <row r="4" ht="42" customHeight="1">
      <c r="A4" s="9" t="inlineStr">
        <is>
          <t>Pedaço do dinheiro (objetivo)</t>
        </is>
      </c>
      <c r="B4" s="9" t="inlineStr">
        <is>
          <t>Valor-alvo (R$)</t>
        </is>
      </c>
      <c r="C4" s="9" t="inlineStr">
        <is>
          <t>Quando vou usar</t>
        </is>
      </c>
      <c r="D4" s="9" t="inlineStr">
        <is>
          <t>Tenho reserva?</t>
        </is>
      </c>
      <c r="E4" s="9" t="inlineStr">
        <is>
          <t>Queda que eu aguento</t>
        </is>
      </c>
      <c r="F4" s="9" t="inlineStr">
        <is>
          <t>Tipo de título que combina</t>
        </is>
      </c>
      <c r="G4" s="9" t="inlineStr">
        <is>
          <t>Regra de revisão</t>
        </is>
      </c>
      <c r="H4" s="9" t="inlineStr">
        <is>
          <t>Anos até usar</t>
        </is>
      </c>
      <c r="I4" s="9" t="inlineStr">
        <is>
          <t>Aplicado hoje (R$)</t>
        </is>
      </c>
      <c r="J4" s="9" t="inlineStr">
        <is>
          <t>Líquido estimado (R$)</t>
        </is>
      </c>
      <c r="K4" s="9" t="inlineStr">
        <is>
          <t>Falta para a meta (R$)</t>
        </is>
      </c>
      <c r="L4" s="9" t="inlineStr">
        <is>
          <t>Situação</t>
        </is>
      </c>
    </row>
    <row r="5">
      <c r="A5" s="10" t="inlineStr">
        <is>
          <t>Reserva</t>
        </is>
      </c>
      <c r="B5" s="12" t="n">
        <v>30000</v>
      </c>
      <c r="C5" s="11" t="n"/>
      <c r="D5" s="10" t="inlineStr">
        <is>
          <t>—</t>
        </is>
      </c>
      <c r="E5" s="10" t="inlineStr">
        <is>
          <t>nenhuma</t>
        </is>
      </c>
      <c r="F5" s="10" t="inlineStr">
        <is>
          <t>pós-fixado com liquidez diária</t>
        </is>
      </c>
      <c r="G5" s="10" t="inlineStr">
        <is>
          <t>recompor no mês seguinte a qualquer saque</t>
        </is>
      </c>
      <c r="H5" s="19">
        <f>IF($A5="","",IF(C5="","",ROUND((C5-TODAY())/365,1)))</f>
        <v/>
      </c>
      <c r="I5" s="16">
        <f>IF($A5="","",SUMIFS('Posições'!$H$9:$H$58,'Posições'!$F$9:$F$58,A5))</f>
        <v/>
      </c>
      <c r="J5" s="16">
        <f>IF($A5="","",SUMIFS('Posições'!$Q$9:$Q$58,'Posições'!$F$9:$F$58,A5))</f>
        <v/>
      </c>
      <c r="K5" s="16">
        <f>IF($A5="","",IF(B5="","",MAX(0,B5-J5)))</f>
        <v/>
      </c>
      <c r="L5" s="19">
        <f>IF($A5="","",IF(I5=0,"nada aplicado ainda",IF(B5="","sem meta em R$: defina",IF(J5&gt;=B5,"meta coberta pela estimativa","falta aplicar ou aportar"))))</f>
        <v/>
      </c>
    </row>
    <row r="6">
      <c r="A6" s="10" t="inlineStr">
        <is>
          <t>Reforma e mudança</t>
        </is>
      </c>
      <c r="B6" s="12" t="n">
        <v>280000</v>
      </c>
      <c r="C6" s="11" t="n">
        <v>47423</v>
      </c>
      <c r="D6" s="10" t="inlineStr">
        <is>
          <t>Sim</t>
        </is>
      </c>
      <c r="E6" s="10" t="inlineStr">
        <is>
          <t>5%</t>
        </is>
      </c>
      <c r="F6" s="10" t="inlineStr">
        <is>
          <t>pós ou pré que vença perto da data</t>
        </is>
      </c>
      <c r="G6" s="10" t="inlineStr">
        <is>
          <t>revisar quando faltar 12 meses</t>
        </is>
      </c>
      <c r="H6" s="19">
        <f>IF($A6="","",IF(C6="","",ROUND((C6-TODAY())/365,1)))</f>
        <v/>
      </c>
      <c r="I6" s="16">
        <f>IF($A6="","",SUMIFS('Posições'!$H$9:$H$58,'Posições'!$F$9:$F$58,A6))</f>
        <v/>
      </c>
      <c r="J6" s="16">
        <f>IF($A6="","",SUMIFS('Posições'!$Q$9:$Q$58,'Posições'!$F$9:$F$58,A6))</f>
        <v/>
      </c>
      <c r="K6" s="16">
        <f>IF($A6="","",IF(B6="","",MAX(0,B6-J6)))</f>
        <v/>
      </c>
      <c r="L6" s="19">
        <f>IF($A6="","",IF(I6=0,"nada aplicado ainda",IF(B6="","sem meta em R$: defina",IF(J6&gt;=B6,"meta coberta pela estimativa","falta aplicar ou aportar"))))</f>
        <v/>
      </c>
    </row>
    <row r="7">
      <c r="A7" s="10" t="inlineStr">
        <is>
          <t>Entrada do apartamento</t>
        </is>
      </c>
      <c r="B7" s="12" t="n">
        <v>80000</v>
      </c>
      <c r="C7" s="11" t="n">
        <v>48214</v>
      </c>
      <c r="D7" s="10" t="inlineStr">
        <is>
          <t>Sim</t>
        </is>
      </c>
      <c r="E7" s="10" t="inlineStr">
        <is>
          <t>10%</t>
        </is>
      </c>
      <c r="F7" s="10" t="inlineStr">
        <is>
          <t>prefixado ou IPCA+ que vença perto da data</t>
        </is>
      </c>
      <c r="G7" s="10" t="inlineStr">
        <is>
          <t>revisar todo ano, em janeiro</t>
        </is>
      </c>
      <c r="H7" s="19">
        <f>IF($A7="","",IF(C7="","",ROUND((C7-TODAY())/365,1)))</f>
        <v/>
      </c>
      <c r="I7" s="16">
        <f>IF($A7="","",SUMIFS('Posições'!$H$9:$H$58,'Posições'!$F$9:$F$58,A7))</f>
        <v/>
      </c>
      <c r="J7" s="16">
        <f>IF($A7="","",SUMIFS('Posições'!$Q$9:$Q$58,'Posições'!$F$9:$F$58,A7))</f>
        <v/>
      </c>
      <c r="K7" s="16">
        <f>IF($A7="","",IF(B7="","",MAX(0,B7-J7)))</f>
        <v/>
      </c>
      <c r="L7" s="19">
        <f>IF($A7="","",IF(I7=0,"nada aplicado ainda",IF(B7="","sem meta em R$: defina",IF(J7&gt;=B7,"meta coberta pela estimativa","falta aplicar ou aportar"))))</f>
        <v/>
      </c>
    </row>
    <row r="8">
      <c r="A8" s="10" t="inlineStr">
        <is>
          <t>Aposentadoria</t>
        </is>
      </c>
      <c r="B8" s="12" t="n"/>
      <c r="C8" s="11" t="n">
        <v>53097</v>
      </c>
      <c r="D8" s="10" t="inlineStr">
        <is>
          <t>Sim</t>
        </is>
      </c>
      <c r="E8" s="10" t="inlineStr">
        <is>
          <t>30%</t>
        </is>
      </c>
      <c r="F8" s="10" t="inlineStr">
        <is>
          <t>IPCA+ longo, taxa travada</t>
        </is>
      </c>
      <c r="G8" s="10" t="inlineStr">
        <is>
          <t>revisar a cada 5 anos ou se a vida mudar</t>
        </is>
      </c>
      <c r="H8" s="19">
        <f>IF($A8="","",IF(C8="","",ROUND((C8-TODAY())/365,1)))</f>
        <v/>
      </c>
      <c r="I8" s="16">
        <f>IF($A8="","",SUMIFS('Posições'!$H$9:$H$58,'Posições'!$F$9:$F$58,A8))</f>
        <v/>
      </c>
      <c r="J8" s="16">
        <f>IF($A8="","",SUMIFS('Posições'!$Q$9:$Q$58,'Posições'!$F$9:$F$58,A8))</f>
        <v/>
      </c>
      <c r="K8" s="16">
        <f>IF($A8="","",IF(B8="","",MAX(0,B8-J8)))</f>
        <v/>
      </c>
      <c r="L8" s="19">
        <f>IF($A8="","",IF(I8=0,"nada aplicado ainda",IF(B8="","sem meta em R$: defina",IF(J8&gt;=B8,"meta coberta pela estimativa","falta aplicar ou aportar"))))</f>
        <v/>
      </c>
    </row>
    <row r="9">
      <c r="A9" s="10" t="n"/>
      <c r="B9" s="12" t="n"/>
      <c r="C9" s="11" t="n"/>
      <c r="D9" s="10" t="n"/>
      <c r="E9" s="10" t="n"/>
      <c r="F9" s="10" t="n"/>
      <c r="G9" s="10" t="n"/>
      <c r="H9" s="19">
        <f>IF($A9="","",IF(C9="","",ROUND((C9-TODAY())/365,1)))</f>
        <v/>
      </c>
      <c r="I9" s="16">
        <f>IF($A9="","",SUMIFS('Posições'!$H$9:$H$58,'Posições'!$F$9:$F$58,A9))</f>
        <v/>
      </c>
      <c r="J9" s="16">
        <f>IF($A9="","",SUMIFS('Posições'!$Q$9:$Q$58,'Posições'!$F$9:$F$58,A9))</f>
        <v/>
      </c>
      <c r="K9" s="16">
        <f>IF($A9="","",IF(B9="","",MAX(0,B9-J9)))</f>
        <v/>
      </c>
      <c r="L9" s="19">
        <f>IF($A9="","",IF(I9=0,"nada aplicado ainda",IF(B9="","sem meta em R$: defina",IF(J9&gt;=B9,"meta coberta pela estimativa","falta aplicar ou aportar"))))</f>
        <v/>
      </c>
    </row>
    <row r="10">
      <c r="A10" s="10" t="n"/>
      <c r="B10" s="12" t="n"/>
      <c r="C10" s="11" t="n"/>
      <c r="D10" s="10" t="n"/>
      <c r="E10" s="10" t="n"/>
      <c r="F10" s="10" t="n"/>
      <c r="G10" s="10" t="n"/>
      <c r="H10" s="19">
        <f>IF($A10="","",IF(C10="","",ROUND((C10-TODAY())/365,1)))</f>
        <v/>
      </c>
      <c r="I10" s="16">
        <f>IF($A10="","",SUMIFS('Posições'!$H$9:$H$58,'Posições'!$F$9:$F$58,A10))</f>
        <v/>
      </c>
      <c r="J10" s="16">
        <f>IF($A10="","",SUMIFS('Posições'!$Q$9:$Q$58,'Posições'!$F$9:$F$58,A10))</f>
        <v/>
      </c>
      <c r="K10" s="16">
        <f>IF($A10="","",IF(B10="","",MAX(0,B10-J10)))</f>
        <v/>
      </c>
      <c r="L10" s="19">
        <f>IF($A10="","",IF(I10=0,"nada aplicado ainda",IF(B10="","sem meta em R$: defina",IF(J10&gt;=B10,"meta coberta pela estimativa","falta aplicar ou aportar"))))</f>
        <v/>
      </c>
    </row>
    <row r="11">
      <c r="A11" s="10" t="n"/>
      <c r="B11" s="12" t="n"/>
      <c r="C11" s="11" t="n"/>
      <c r="D11" s="10" t="n"/>
      <c r="E11" s="10" t="n"/>
      <c r="F11" s="10" t="n"/>
      <c r="G11" s="10" t="n"/>
      <c r="H11" s="19">
        <f>IF($A11="","",IF(C11="","",ROUND((C11-TODAY())/365,1)))</f>
        <v/>
      </c>
      <c r="I11" s="16">
        <f>IF($A11="","",SUMIFS('Posições'!$H$9:$H$58,'Posições'!$F$9:$F$58,A11))</f>
        <v/>
      </c>
      <c r="J11" s="16">
        <f>IF($A11="","",SUMIFS('Posições'!$Q$9:$Q$58,'Posições'!$F$9:$F$58,A11))</f>
        <v/>
      </c>
      <c r="K11" s="16">
        <f>IF($A11="","",IF(B11="","",MAX(0,B11-J11)))</f>
        <v/>
      </c>
      <c r="L11" s="19">
        <f>IF($A11="","",IF(I11=0,"nada aplicado ainda",IF(B11="","sem meta em R$: defina",IF(J11&gt;=B11,"meta coberta pela estimativa","falta aplicar ou aportar"))))</f>
        <v/>
      </c>
    </row>
    <row r="12">
      <c r="A12" s="10" t="n"/>
      <c r="B12" s="12" t="n"/>
      <c r="C12" s="11" t="n"/>
      <c r="D12" s="10" t="n"/>
      <c r="E12" s="10" t="n"/>
      <c r="F12" s="10" t="n"/>
      <c r="G12" s="10" t="n"/>
      <c r="H12" s="19">
        <f>IF($A12="","",IF(C12="","",ROUND((C12-TODAY())/365,1)))</f>
        <v/>
      </c>
      <c r="I12" s="16">
        <f>IF($A12="","",SUMIFS('Posições'!$H$9:$H$58,'Posições'!$F$9:$F$58,A12))</f>
        <v/>
      </c>
      <c r="J12" s="16">
        <f>IF($A12="","",SUMIFS('Posições'!$Q$9:$Q$58,'Posições'!$F$9:$F$58,A12))</f>
        <v/>
      </c>
      <c r="K12" s="16">
        <f>IF($A12="","",IF(B12="","",MAX(0,B12-J12)))</f>
        <v/>
      </c>
      <c r="L12" s="19">
        <f>IF($A12="","",IF(I12=0,"nada aplicado ainda",IF(B12="","sem meta em R$: defina",IF(J12&gt;=B12,"meta coberta pela estimativa","falta aplicar ou aportar"))))</f>
        <v/>
      </c>
    </row>
    <row r="13">
      <c r="A13" s="10" t="n"/>
      <c r="B13" s="12" t="n"/>
      <c r="C13" s="11" t="n"/>
      <c r="D13" s="10" t="n"/>
      <c r="E13" s="10" t="n"/>
      <c r="F13" s="10" t="n"/>
      <c r="G13" s="10" t="n"/>
      <c r="H13" s="19">
        <f>IF($A13="","",IF(C13="","",ROUND((C13-TODAY())/365,1)))</f>
        <v/>
      </c>
      <c r="I13" s="16">
        <f>IF($A13="","",SUMIFS('Posições'!$H$9:$H$58,'Posições'!$F$9:$F$58,A13))</f>
        <v/>
      </c>
      <c r="J13" s="16">
        <f>IF($A13="","",SUMIFS('Posições'!$Q$9:$Q$58,'Posições'!$F$9:$F$58,A13))</f>
        <v/>
      </c>
      <c r="K13" s="16">
        <f>IF($A13="","",IF(B13="","",MAX(0,B13-J13)))</f>
        <v/>
      </c>
      <c r="L13" s="19">
        <f>IF($A13="","",IF(I13=0,"nada aplicado ainda",IF(B13="","sem meta em R$: defina",IF(J13&gt;=B13,"meta coberta pela estimativa","falta aplicar ou aportar"))))</f>
        <v/>
      </c>
    </row>
    <row r="14">
      <c r="A14" s="10" t="n"/>
      <c r="B14" s="12" t="n"/>
      <c r="C14" s="11" t="n"/>
      <c r="D14" s="10" t="n"/>
      <c r="E14" s="10" t="n"/>
      <c r="F14" s="10" t="n"/>
      <c r="G14" s="10" t="n"/>
      <c r="H14" s="19">
        <f>IF($A14="","",IF(C14="","",ROUND((C14-TODAY())/365,1)))</f>
        <v/>
      </c>
      <c r="I14" s="16">
        <f>IF($A14="","",SUMIFS('Posições'!$H$9:$H$58,'Posições'!$F$9:$F$58,A14))</f>
        <v/>
      </c>
      <c r="J14" s="16">
        <f>IF($A14="","",SUMIFS('Posições'!$Q$9:$Q$58,'Posições'!$F$9:$F$58,A14))</f>
        <v/>
      </c>
      <c r="K14" s="16">
        <f>IF($A14="","",IF(B14="","",MAX(0,B14-J14)))</f>
        <v/>
      </c>
      <c r="L14" s="19">
        <f>IF($A14="","",IF(I14=0,"nada aplicado ainda",IF(B14="","sem meta em R$: defina",IF(J14&gt;=B14,"meta coberta pela estimativa","falta aplicar ou aportar"))))</f>
        <v/>
      </c>
    </row>
    <row r="16">
      <c r="A16" s="2" t="inlineStr">
        <is>
          <t>Lembrete do diagnóstico: o prazo decide antes da tolerância. Dinheiro com data não pode estar num título que precise ser vendido antes do vencimento numa semana ruim.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70"/>
  <sheetViews>
    <sheetView workbookViewId="0">
      <selection activeCell="A1" sqref="A1"/>
    </sheetView>
  </sheetViews>
  <sheetFormatPr baseColWidth="8" defaultRowHeight="15"/>
  <cols>
    <col width="46" customWidth="1" min="1" max="1"/>
    <col width="15" customWidth="1" min="2" max="2"/>
    <col width="16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CDB × LCI/LCA × Tesouro: quanto sobra depois do imposto</t>
        </is>
      </c>
    </row>
    <row r="2">
      <c r="A2" s="2" t="inlineStr">
        <is>
          <t>Compara o mesmo valor, pelo mesmo prazo, levado até o fim. Taxas constantes no período (premissa sua). Não inclui marcação a mercado nem taxa da instituição.</t>
        </is>
      </c>
    </row>
    <row r="4">
      <c r="A4" s="3" t="inlineStr">
        <is>
          <t>Valor aplicado (R$)</t>
        </is>
      </c>
      <c r="B4" s="6" t="n">
        <v>10000</v>
      </c>
      <c r="C4" s="2" t="inlineStr">
        <is>
          <t>Entradas em amarelo. Exemplos com taxas de 26/10/2026 (Tesouro Direto) e o CDI de set/2026.</t>
        </is>
      </c>
    </row>
    <row r="5">
      <c r="A5" s="3" t="inlineStr">
        <is>
          <t>Prazo (dias corridos)</t>
        </is>
      </c>
      <c r="B5" s="20" t="n">
        <v>1893</v>
      </c>
    </row>
    <row r="6">
      <c r="A6" s="3" t="inlineStr">
        <is>
          <t>CDI esperado no período (% a.a.)</t>
        </is>
      </c>
      <c r="B6" s="4" t="n">
        <v>13.65</v>
      </c>
    </row>
    <row r="7">
      <c r="A7" s="3" t="inlineStr">
        <is>
          <t>CDB: % do CDI</t>
        </is>
      </c>
      <c r="B7" s="4" t="n">
        <v>100</v>
      </c>
    </row>
    <row r="8">
      <c r="A8" s="3" t="inlineStr">
        <is>
          <t>LCI ou LCA: % do CDI</t>
        </is>
      </c>
      <c r="B8" s="4" t="n">
        <v>90</v>
      </c>
    </row>
    <row r="9">
      <c r="A9" s="3" t="inlineStr">
        <is>
          <t>Selic esperada no período (% a.a.)</t>
        </is>
      </c>
      <c r="B9" s="4" t="n">
        <v>13.65</v>
      </c>
    </row>
    <row r="10">
      <c r="A10" s="3" t="inlineStr">
        <is>
          <t>Tesouro Selic: ágio na compra (% a.a., ex.: 0,05)</t>
        </is>
      </c>
      <c r="B10" s="4" t="n">
        <v>0.05</v>
      </c>
    </row>
    <row r="11">
      <c r="A11" s="3" t="inlineStr">
        <is>
          <t>Tesouro Prefixado: taxa de compra (% a.a.)</t>
        </is>
      </c>
      <c r="B11" s="4" t="n">
        <v>15.78</v>
      </c>
      <c r="C11" s="2" t="inlineStr">
        <is>
          <t>O prazo do Prefixado deve ser o número de dias até o vencimento do título (exemplo: 1.893 dias de 26/10/2026 a 01/01/2032, o Prefixado 2032).</t>
        </is>
      </c>
    </row>
    <row r="12">
      <c r="A12" s="3" t="inlineStr">
        <is>
          <t>Custódia B3 do Tesouro (% a.a.)</t>
        </is>
      </c>
      <c r="B12" s="4" t="n">
        <v>0.2</v>
      </c>
    </row>
    <row r="13">
      <c r="A13" s="3" t="inlineStr">
        <is>
          <t>Tesouro Selic isento de custódia até (R$)</t>
        </is>
      </c>
      <c r="B13" s="6" t="n">
        <v>10000</v>
      </c>
    </row>
    <row r="15">
      <c r="A15" s="3" t="inlineStr">
        <is>
          <t>Anos</t>
        </is>
      </c>
      <c r="B15" s="21">
        <f>B5/365</f>
        <v/>
      </c>
    </row>
    <row r="16">
      <c r="A16" s="3" t="inlineStr">
        <is>
          <t>Alíquota de IR pelo prazo</t>
        </is>
      </c>
      <c r="B16" s="22">
        <f>IF(B5&lt;=180,0.225,IF(B5&lt;=360,0.2,IF(B5&lt;=720,0.175,0.15)))</f>
        <v/>
      </c>
    </row>
    <row r="17">
      <c r="A17" s="3" t="inlineStr">
        <is>
          <t>IOF sobre o rendimento (só abaixo de 30 dias)</t>
        </is>
      </c>
      <c r="B17" s="22">
        <f>IF(B5&lt;30,INDEX($B$41:$B$70,MAX(1,B5)),0)</f>
        <v/>
      </c>
    </row>
    <row r="18">
      <c r="A18" s="3" t="inlineStr">
        <is>
          <t>Tesouro Selic: anos até o saldo passar da isenção</t>
        </is>
      </c>
      <c r="B18" s="21">
        <f>IF(B4&gt;=B13,0,IFERROR(MIN(B15,LN(B13/B4)/LN(1+B22/100)),B15))</f>
        <v/>
      </c>
    </row>
    <row r="19" ht="32" customHeight="1">
      <c r="A19" s="9" t="inlineStr">
        <is>
          <t>Produto</t>
        </is>
      </c>
      <c r="B19" s="9" t="inlineStr">
        <is>
          <t>Taxa bruta (% a.a.)</t>
        </is>
      </c>
      <c r="C19" s="9" t="inlineStr">
        <is>
          <t>Bruto no fim (R$)</t>
        </is>
      </c>
      <c r="D19" s="9" t="inlineStr">
        <is>
          <t>IOF (R$)</t>
        </is>
      </c>
      <c r="E19" s="9" t="inlineStr">
        <is>
          <t>Custódia (R$)</t>
        </is>
      </c>
      <c r="F19" s="9" t="inlineStr">
        <is>
          <t>IR (R$)</t>
        </is>
      </c>
      <c r="G19" s="9" t="inlineStr">
        <is>
          <t>Líquido no fim (R$)</t>
        </is>
      </c>
      <c r="H19" s="9" t="inlineStr">
        <is>
          <t>Ganho líquido (R$)</t>
        </is>
      </c>
      <c r="I19" s="9" t="inlineStr">
        <is>
          <t>Rentab. líquida (% a.a.)</t>
        </is>
      </c>
      <c r="J19" s="9" t="inlineStr">
        <is>
          <t>% do CDI líquido</t>
        </is>
      </c>
    </row>
    <row r="20">
      <c r="A20" s="3" t="inlineStr">
        <is>
          <t>CDB</t>
        </is>
      </c>
      <c r="B20" s="23">
        <f>((1+((1+B6/100)^(1/252)-1)*B7/100)^252-1)*100</f>
        <v/>
      </c>
      <c r="C20" s="5">
        <f>$B$4*(1+B20/100)^$B$15</f>
        <v/>
      </c>
      <c r="D20" s="5">
        <f>(C20-$B$4)*$B$17</f>
        <v/>
      </c>
      <c r="E20" s="5" t="n">
        <v>0</v>
      </c>
      <c r="F20" s="5">
        <f>MAX(0,C20-$B$4-D20-E20)*$B$16</f>
        <v/>
      </c>
      <c r="G20" s="5">
        <f>C20-D20-E20-F20</f>
        <v/>
      </c>
      <c r="H20" s="5">
        <f>G20-$B$4</f>
        <v/>
      </c>
      <c r="I20" s="23">
        <f>((G20/$B$4)^(1/$B$15)-1)*100</f>
        <v/>
      </c>
      <c r="J20" s="22">
        <f>I20/$B$6</f>
        <v/>
      </c>
    </row>
    <row r="21">
      <c r="A21" s="3" t="inlineStr">
        <is>
          <t>LCI / LCA (isenta)</t>
        </is>
      </c>
      <c r="B21" s="23">
        <f>((1+((1+B6/100)^(1/252)-1)*B8/100)^252-1)*100</f>
        <v/>
      </c>
      <c r="C21" s="5">
        <f>$B$4*(1+B21/100)^$B$15</f>
        <v/>
      </c>
      <c r="D21" s="5" t="n">
        <v>0</v>
      </c>
      <c r="E21" s="5" t="n">
        <v>0</v>
      </c>
      <c r="F21" s="5" t="n">
        <v>0</v>
      </c>
      <c r="G21" s="5">
        <f>C21-D21-E21-F21</f>
        <v/>
      </c>
      <c r="H21" s="5">
        <f>G21-$B$4</f>
        <v/>
      </c>
      <c r="I21" s="23">
        <f>((G21/$B$4)^(1/$B$15)-1)*100</f>
        <v/>
      </c>
      <c r="J21" s="22">
        <f>I21/$B$6</f>
        <v/>
      </c>
    </row>
    <row r="22">
      <c r="A22" s="3" t="inlineStr">
        <is>
          <t>Tesouro Selic</t>
        </is>
      </c>
      <c r="B22" s="23">
        <f>B9+B10</f>
        <v/>
      </c>
      <c r="C22" s="5">
        <f>$B$4*(1+B22/100)^$B$15</f>
        <v/>
      </c>
      <c r="D22" s="5">
        <f>(C22-$B$4)*$B$17</f>
        <v/>
      </c>
      <c r="E22" s="5">
        <f>B12/100*MAX(0,B4*((1+B22/100)^B15-(1+B22/100)^B18)/LN(1+B22/100)-B13*(B15-B18))</f>
        <v/>
      </c>
      <c r="F22" s="5">
        <f>MAX(0,C22-$B$4-D22-E22)*$B$16</f>
        <v/>
      </c>
      <c r="G22" s="5">
        <f>C22-D22-E22-F22</f>
        <v/>
      </c>
      <c r="H22" s="5">
        <f>G22-$B$4</f>
        <v/>
      </c>
      <c r="I22" s="23">
        <f>((G22/$B$4)^(1/$B$15)-1)*100</f>
        <v/>
      </c>
      <c r="J22" s="22">
        <f>I22/$B$6</f>
        <v/>
      </c>
    </row>
    <row r="23">
      <c r="A23" s="3" t="inlineStr">
        <is>
          <t>Tesouro Prefixado</t>
        </is>
      </c>
      <c r="B23" s="23">
        <f>B11</f>
        <v/>
      </c>
      <c r="C23" s="5">
        <f>$B$4*(1+B23/100)^$B$15</f>
        <v/>
      </c>
      <c r="D23" s="5">
        <f>(C23-$B$4)*$B$17</f>
        <v/>
      </c>
      <c r="E23" s="5">
        <f>B4*B12/100*((1+B23/100)^B15-1)/LN(1+B23/100)</f>
        <v/>
      </c>
      <c r="F23" s="5">
        <f>MAX(0,C23-$B$4-D23-E23)*$B$16</f>
        <v/>
      </c>
      <c r="G23" s="5">
        <f>C23-D23-E23-F23</f>
        <v/>
      </c>
      <c r="H23" s="5">
        <f>G23-$B$4</f>
        <v/>
      </c>
      <c r="I23" s="23">
        <f>((G23/$B$4)^(1/$B$15)-1)*100</f>
        <v/>
      </c>
      <c r="J23" s="22">
        <f>I23/$B$6</f>
        <v/>
      </c>
    </row>
    <row r="25">
      <c r="A25" s="3" t="inlineStr">
        <is>
          <t>LCI/LCA equivale a um CDB de (% do CDI), neste prazo</t>
        </is>
      </c>
      <c r="B25" s="23">
        <f>(((1+(C21/B4-1)/(1-B16))^(1/B15))^(1/252)-1)/((1+B6/100)^(1/252)-1)*100</f>
        <v/>
      </c>
      <c r="C25" s="2" t="inlineStr">
        <is>
          <t>Conta exata no prazo (o IR do CDB só sai no resgate). A regra de bolso, % ÷ (1 − alíquota), exagera a vantagem da LCI em prazos longos.</t>
        </is>
      </c>
    </row>
    <row r="26">
      <c r="A26" s="3" t="inlineStr">
        <is>
          <t>O CDB equivale a uma LCI/LCA de (% do CDI), neste prazo</t>
        </is>
      </c>
      <c r="B26" s="23">
        <f>(((1+(C20/B4-1)*(1-B16))^(1/B15))^(1/252)-1)/((1+B6/100)^(1/252)-1)*100</f>
        <v/>
      </c>
    </row>
    <row r="27">
      <c r="A27" s="3" t="inlineStr">
        <is>
          <t>Maior líquido com ESTAS premissas (não é previsão)</t>
        </is>
      </c>
      <c r="B27" s="7">
        <f>INDEX(A20:A23,MATCH(MAX(G20:G23),G20:G23,0))</f>
        <v/>
      </c>
    </row>
    <row r="28">
      <c r="A28" s="2" t="inlineStr">
        <is>
          <t>Atenção: LCI e LCA têm prazo mínimo e quase nunca permitem resgate antes do vencimento; o Prefixado vendido antes do vencimento sai pelo preço de mercado, que pode ser menor. A comparação vale para quem leva até o fim.</t>
        </is>
      </c>
    </row>
    <row r="31">
      <c r="A31" s="3" t="inlineStr">
        <is>
          <t>Tabela regressiva do IR (Lei 11.033/2004)</t>
        </is>
      </c>
    </row>
    <row r="32">
      <c r="A32" t="inlineStr">
        <is>
          <t>até 180 dias</t>
        </is>
      </c>
      <c r="B32" s="24" t="n">
        <v>0.225</v>
      </c>
    </row>
    <row r="33">
      <c r="A33" t="inlineStr">
        <is>
          <t>de 181 a 360 dias</t>
        </is>
      </c>
      <c r="B33" s="24" t="n">
        <v>0.2</v>
      </c>
    </row>
    <row r="34">
      <c r="A34" t="inlineStr">
        <is>
          <t>de 361 a 720 dias</t>
        </is>
      </c>
      <c r="B34" s="24" t="n">
        <v>0.175</v>
      </c>
    </row>
    <row r="35">
      <c r="A35" t="inlineStr">
        <is>
          <t>acima de 720 dias</t>
        </is>
      </c>
      <c r="B35" s="24" t="n">
        <v>0.15</v>
      </c>
    </row>
    <row r="39">
      <c r="A39" s="3" t="inlineStr">
        <is>
          <t>IOF regressivo sobre o rendimento nos resgates em menos de 30 dias (Decreto 6.306/2007)</t>
        </is>
      </c>
    </row>
    <row r="40">
      <c r="A40" s="3" t="inlineStr">
        <is>
          <t>Dia</t>
        </is>
      </c>
      <c r="B40" s="3" t="inlineStr">
        <is>
          <t>IOF</t>
        </is>
      </c>
    </row>
    <row r="41">
      <c r="A41" t="n">
        <v>1</v>
      </c>
      <c r="B41" s="25" t="n">
        <v>0.96</v>
      </c>
    </row>
    <row r="42">
      <c r="A42" t="n">
        <v>2</v>
      </c>
      <c r="B42" s="25" t="n">
        <v>0.93</v>
      </c>
    </row>
    <row r="43">
      <c r="A43" t="n">
        <v>3</v>
      </c>
      <c r="B43" s="25" t="n">
        <v>0.9</v>
      </c>
    </row>
    <row r="44">
      <c r="A44" t="n">
        <v>4</v>
      </c>
      <c r="B44" s="25" t="n">
        <v>0.86</v>
      </c>
    </row>
    <row r="45">
      <c r="A45" t="n">
        <v>5</v>
      </c>
      <c r="B45" s="25" t="n">
        <v>0.83</v>
      </c>
    </row>
    <row r="46">
      <c r="A46" t="n">
        <v>6</v>
      </c>
      <c r="B46" s="25" t="n">
        <v>0.8</v>
      </c>
    </row>
    <row r="47">
      <c r="A47" t="n">
        <v>7</v>
      </c>
      <c r="B47" s="25" t="n">
        <v>0.76</v>
      </c>
    </row>
    <row r="48">
      <c r="A48" t="n">
        <v>8</v>
      </c>
      <c r="B48" s="25" t="n">
        <v>0.73</v>
      </c>
    </row>
    <row r="49">
      <c r="A49" t="n">
        <v>9</v>
      </c>
      <c r="B49" s="25" t="n">
        <v>0.7</v>
      </c>
    </row>
    <row r="50">
      <c r="A50" t="n">
        <v>10</v>
      </c>
      <c r="B50" s="25" t="n">
        <v>0.66</v>
      </c>
    </row>
    <row r="51">
      <c r="A51" t="n">
        <v>11</v>
      </c>
      <c r="B51" s="25" t="n">
        <v>0.63</v>
      </c>
    </row>
    <row r="52">
      <c r="A52" t="n">
        <v>12</v>
      </c>
      <c r="B52" s="25" t="n">
        <v>0.6</v>
      </c>
    </row>
    <row r="53">
      <c r="A53" t="n">
        <v>13</v>
      </c>
      <c r="B53" s="25" t="n">
        <v>0.5600000000000001</v>
      </c>
    </row>
    <row r="54">
      <c r="A54" t="n">
        <v>14</v>
      </c>
      <c r="B54" s="25" t="n">
        <v>0.53</v>
      </c>
    </row>
    <row r="55">
      <c r="A55" t="n">
        <v>15</v>
      </c>
      <c r="B55" s="25" t="n">
        <v>0.5</v>
      </c>
    </row>
    <row r="56">
      <c r="A56" t="n">
        <v>16</v>
      </c>
      <c r="B56" s="25" t="n">
        <v>0.46</v>
      </c>
    </row>
    <row r="57">
      <c r="A57" t="n">
        <v>17</v>
      </c>
      <c r="B57" s="25" t="n">
        <v>0.43</v>
      </c>
    </row>
    <row r="58">
      <c r="A58" t="n">
        <v>18</v>
      </c>
      <c r="B58" s="25" t="n">
        <v>0.4</v>
      </c>
    </row>
    <row r="59">
      <c r="A59" t="n">
        <v>19</v>
      </c>
      <c r="B59" s="25" t="n">
        <v>0.36</v>
      </c>
    </row>
    <row r="60">
      <c r="A60" t="n">
        <v>20</v>
      </c>
      <c r="B60" s="25" t="n">
        <v>0.33</v>
      </c>
    </row>
    <row r="61">
      <c r="A61" t="n">
        <v>21</v>
      </c>
      <c r="B61" s="25" t="n">
        <v>0.3</v>
      </c>
    </row>
    <row r="62">
      <c r="A62" t="n">
        <v>22</v>
      </c>
      <c r="B62" s="25" t="n">
        <v>0.26</v>
      </c>
    </row>
    <row r="63">
      <c r="A63" t="n">
        <v>23</v>
      </c>
      <c r="B63" s="25" t="n">
        <v>0.23</v>
      </c>
    </row>
    <row r="64">
      <c r="A64" t="n">
        <v>24</v>
      </c>
      <c r="B64" s="25" t="n">
        <v>0.2</v>
      </c>
    </row>
    <row r="65">
      <c r="A65" t="n">
        <v>25</v>
      </c>
      <c r="B65" s="25" t="n">
        <v>0.16</v>
      </c>
    </row>
    <row r="66">
      <c r="A66" t="n">
        <v>26</v>
      </c>
      <c r="B66" s="25" t="n">
        <v>0.13</v>
      </c>
    </row>
    <row r="67">
      <c r="A67" t="n">
        <v>27</v>
      </c>
      <c r="B67" s="25" t="n">
        <v>0.1</v>
      </c>
    </row>
    <row r="68">
      <c r="A68" t="n">
        <v>28</v>
      </c>
      <c r="B68" s="25" t="n">
        <v>0.06</v>
      </c>
    </row>
    <row r="69">
      <c r="A69" t="n">
        <v>29</v>
      </c>
      <c r="B69" s="25" t="n">
        <v>0.03</v>
      </c>
    </row>
    <row r="70">
      <c r="A70" t="n">
        <v>30</v>
      </c>
      <c r="B70" s="25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2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6" t="inlineStr">
        <is>
          <t>Planilha de renda fixa · Quantor Educação</t>
        </is>
      </c>
    </row>
    <row r="2">
      <c r="A2" s="27" t="inlineStr">
        <is>
          <t>Material da aula 'A sua planilha de renda fixa' (módulo 8). Funciona no Excel e no Google Planilhas. Não tem macros.</t>
        </is>
      </c>
    </row>
    <row r="3">
      <c r="A3" s="28" t="inlineStr"/>
    </row>
    <row r="4">
      <c r="A4" s="29" t="inlineStr">
        <is>
          <t>1. Comece pela aba Objetivos</t>
        </is>
      </c>
    </row>
    <row r="5">
      <c r="A5" s="30" t="inlineStr">
        <is>
          <t>Preencha a ficha do diagnóstico: um objetivo por linha, com valor-alvo, data de uso, queda que você aguenta e a regra de revisão. Deixe a data em branco para a reserva.</t>
        </is>
      </c>
    </row>
    <row r="6">
      <c r="A6" s="29" t="inlineStr">
        <is>
          <t>2. Lance cada título na aba Posições</t>
        </is>
      </c>
    </row>
    <row r="7">
      <c r="A7" s="30" t="inlineStr">
        <is>
          <t>Uma linha por aplicação (duas compras do mesmo título em datas diferentes são duas linhas). Apague as 5 linhas de EXEMPLO antes de usar.</t>
        </is>
      </c>
    </row>
    <row r="8">
      <c r="A8" s="30" t="inlineStr">
        <is>
          <t>Emissor: escreva o CONGLOMERADO, sempre com o mesmo nome. É por ele que a planilha soma o limite do FGC. Para títulos públicos, escreva exatamente 'Tesouro Nacional'.</t>
        </is>
      </c>
    </row>
    <row r="9">
      <c r="A9" s="30" t="inlineStr">
        <is>
          <t>Taxa contratada: Pós CDI = % do CDI (110) · Selic = ágio sobre a Selic (0,05) · Pré = % ao ano (15,78) · IPCA+ = taxa real ao ano (7,66).</t>
        </is>
      </c>
    </row>
    <row r="10">
      <c r="A10" s="30" t="inlineStr">
        <is>
          <t>Custódia/taxa: 0,20 para títulos do Tesouro (taxa da B3); 0 para CDB, LCI e LCA. No Tesouro Selic, a planilha já tira a isenção dos primeiros R$ 10 mil por CPF (somando todas as linhas de Tesouro Selic).</t>
        </is>
      </c>
    </row>
    <row r="11">
      <c r="A11" s="29" t="inlineStr">
        <is>
          <t>3. Ajuste as premissas no topo da aba Posições</t>
        </is>
      </c>
    </row>
    <row r="12">
      <c r="A12" s="30" t="inlineStr">
        <is>
          <t>CDI e IPCA médios esperados até os vencimentos. Os exemplos são o CDI de setembro de 2026 e o Focus de 12 meses em 26/10/2026. Use a curva DI e o Focus da aba Juros do Quantor para atualizar.</t>
        </is>
      </c>
    </row>
    <row r="13">
      <c r="A13" s="29" t="inlineStr">
        <is>
          <t>4. Leia os alertas</t>
        </is>
      </c>
    </row>
    <row r="14">
      <c r="A14" s="30" t="inlineStr">
        <is>
          <t>ACIMA DO FGC: a soma estimada no vencimento, no mesmo conglomerado, passa do limite de R$ 250 mil. O FGC cobre o saldo até esse limite; o que passar é risco do banco.</t>
        </is>
      </c>
    </row>
    <row r="15">
      <c r="A15" s="30" t="inlineStr">
        <is>
          <t>Casamento de prazo: avisa se o título vence DEPOIS da data do objetivo (você pode ter de vender antes, a preço de mercado) ou mais de 1 ano ANTES (vai reinvestir sem saber a taxa).</t>
        </is>
      </c>
    </row>
    <row r="16">
      <c r="A16" s="30" t="inlineStr">
        <is>
          <t>Vencimento próximo: títulos que vencem em até 90 dias. Decida antes para onde vai o dinheiro.</t>
        </is>
      </c>
    </row>
    <row r="17">
      <c r="A17" s="29" t="inlineStr">
        <is>
          <t>5. Use o Comparador líquido antes de cada compra</t>
        </is>
      </c>
    </row>
    <row r="18">
      <c r="A18" s="30" t="inlineStr">
        <is>
          <t>Digite valor, prazo e as taxas oferecidas. A aba aplica a tabela regressiva, o IOF de menos de 30 dias e a custódia do Tesouro e mostra quanto sobra em cada opção.</t>
        </is>
      </c>
    </row>
    <row r="19">
      <c r="A19" s="28" t="inlineStr"/>
    </row>
    <row r="20">
      <c r="A20" s="29" t="inlineStr">
        <is>
          <t>O que a planilha NÃO faz</t>
        </is>
      </c>
    </row>
    <row r="21">
      <c r="A21" s="30" t="inlineStr">
        <is>
          <t>Não mostra o preço de mercado (para isso, veja o extrato da instituição ou o site do Tesouro Direto). 'Saldo estimado hoje' é o valor pela curva da taxa contratada.</t>
        </is>
      </c>
    </row>
    <row r="22">
      <c r="A22" s="30" t="inlineStr">
        <is>
          <t>Usa ano de 365 dias corridos e taxas constantes. O Tesouro calcula por dias úteis (252): a diferença é pequena, mas existe.</t>
        </is>
      </c>
    </row>
    <row r="23">
      <c r="A23" s="30" t="inlineStr">
        <is>
          <t>Desconta a custódia do Tesouro como 0,20% ao ano sobre o saldo de cada dia, cobrada no vencimento (sem cupons no caminho), e não inclui taxa da instituição, se houver.</t>
        </is>
      </c>
    </row>
    <row r="24">
      <c r="A24" s="30" t="inlineStr">
        <is>
          <t>Pós-fixado: o percentual do CDI incide sobre o CDI de cada dia útil (110% de um CDI de 13,65% dá cerca de 15,11% ao ano, não 15,02%).</t>
        </is>
      </c>
    </row>
    <row r="25">
      <c r="A25" s="30" t="inlineStr">
        <is>
          <t>Regras fiscais de outubro de 2026 (LCI e LCA isentas para pessoa física; tabela regressiva; IOF regressivo). Regra muda: confira a vigente.</t>
        </is>
      </c>
    </row>
    <row r="26">
      <c r="A26" s="30" t="inlineStr">
        <is>
          <t>Não é recomendação de investimento. Os exemplos são fictícios e servem para mostrar como as fórmulas funcionam.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2026-10-27T17:02:20Z</dcterms:created>
  <dcterms:modified xmlns:dcterms="http://purl.org/dc/terms/" xmlns:xsi="http://www.w3.org/2001/XMLSchema-instance" xsi:type="dcterms:W3CDTF">2026-10-27T17:02:20Z</dcterms:modified>
</cp:coreProperties>
</file>